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451753\Desktop\"/>
    </mc:Choice>
  </mc:AlternateContent>
  <bookViews>
    <workbookView xWindow="105" yWindow="30" windowWidth="11580" windowHeight="6315" tabRatio="835"/>
  </bookViews>
  <sheets>
    <sheet name="Página 1" sheetId="30" r:id="rId1"/>
    <sheet name="Página 2" sheetId="11" r:id="rId2"/>
    <sheet name="Página 3" sheetId="31" r:id="rId3"/>
    <sheet name="Fotos" sheetId="22" r:id="rId4"/>
    <sheet name="+Fotos" sheetId="34" r:id="rId5"/>
    <sheet name="Pesquisa" sheetId="37" state="hidden" r:id="rId6"/>
    <sheet name="casa" sheetId="40" state="hidden" r:id="rId7"/>
    <sheet name="Documentos" sheetId="23" r:id="rId8"/>
    <sheet name="Ross Reidecke" sheetId="36" state="hidden" r:id="rId9"/>
    <sheet name="USO INTERNO BANCO" sheetId="38" state="hidden" r:id="rId10"/>
    <sheet name="lista" sheetId="39" state="hidden" r:id="rId11"/>
    <sheet name="Campos_Laudo" sheetId="43" state="hidden" r:id="rId12"/>
    <sheet name="Documentos (2)" sheetId="51" r:id="rId13"/>
    <sheet name="CROQUI" sheetId="45" r:id="rId14"/>
    <sheet name="PESQUISAS" sheetId="46" r:id="rId15"/>
    <sheet name="CÁLCULO" sheetId="47" r:id="rId16"/>
    <sheet name="Tabelas Auxiliares 1" sheetId="48" r:id="rId17"/>
    <sheet name="Tabelas Auxiliares 2" sheetId="49" r:id="rId18"/>
    <sheet name="GL" sheetId="50" r:id="rId19"/>
    <sheet name="LAYOUT-USO BANCO NÃO ALTERE" sheetId="4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4">'+Fotos'!$A$1:$K$54</definedName>
    <definedName name="_xlnm.Print_Area" localSheetId="15">CÁLCULO!$A$1:$O$41</definedName>
    <definedName name="_xlnm.Print_Area" localSheetId="11">Campos_Laudo!$B$5:$C$70</definedName>
    <definedName name="_xlnm.Print_Area" localSheetId="6">casa!$A$1:$Z$49</definedName>
    <definedName name="_xlnm.Print_Area" localSheetId="13">CROQUI!$A$2:$K$50</definedName>
    <definedName name="_xlnm.Print_Area" localSheetId="7">Documentos!$A$2:$K$50</definedName>
    <definedName name="_xlnm.Print_Area" localSheetId="12">'Documentos (2)'!$A$2:$K$50</definedName>
    <definedName name="_xlnm.Print_Area" localSheetId="3">Fotos!$A$1:$K$54</definedName>
    <definedName name="_xlnm.Print_Area" localSheetId="0">'Página 1'!$A$1:$L$60</definedName>
    <definedName name="_xlnm.Print_Area" localSheetId="1">'Página 2'!$A$1:$AN$80</definedName>
    <definedName name="_xlnm.Print_Area" localSheetId="2">'Página 3'!$A$1:$AH$67</definedName>
    <definedName name="_xlnm.Print_Area" localSheetId="5">Pesquisa!$A$1:$W$68</definedName>
    <definedName name="_xlnm.Print_Area" localSheetId="14">PESQUISAS!$A$5:$W$47</definedName>
    <definedName name="estadocons">[1]dados!$G$4:$G$11</definedName>
    <definedName name="ocupaçao">[1]dados!$E$4:$E$10</definedName>
    <definedName name="padrao">[1]dados!$I$4:$I$9</definedName>
    <definedName name="PADRÃO">'Tabelas Auxiliares 2'!$B$108:$C$113</definedName>
    <definedName name="Padrão_Ec.">'Tabelas Auxiliares 2'!$B$108:$B$113</definedName>
    <definedName name="POS.VERT.">'Tabelas Auxiliares 2'!$B$19:$B$44</definedName>
    <definedName name="POSICIONAMENTO_VERT.">'Tabelas Auxiliares 2'!$B$19:$B$43</definedName>
    <definedName name="POSICIONAMENTO_VERTICAL">'Tabelas Auxiliares 2'!$B$20:$B$43</definedName>
    <definedName name="situacao">[2]dados!$W$4:$W$6</definedName>
    <definedName name="tipo">[1]dados!$K$4:$K$9</definedName>
    <definedName name="TipoEdif">'[3]Tabelas Auxiliares'!$L$123:$L$135</definedName>
  </definedNames>
  <calcPr calcId="162913"/>
</workbook>
</file>

<file path=xl/calcChain.xml><?xml version="1.0" encoding="utf-8"?>
<calcChain xmlns="http://schemas.openxmlformats.org/spreadsheetml/2006/main">
  <c r="J12" i="51" l="1"/>
  <c r="I12" i="51"/>
  <c r="F12" i="51"/>
  <c r="E12" i="51"/>
  <c r="C12" i="51"/>
  <c r="J10" i="51"/>
  <c r="I10" i="51"/>
  <c r="G10" i="51"/>
  <c r="F10" i="51"/>
  <c r="E10" i="51"/>
  <c r="D10" i="51"/>
  <c r="C10" i="51"/>
  <c r="V6" i="31"/>
  <c r="Z6" i="31" s="1"/>
  <c r="F6" i="31"/>
  <c r="F5" i="31"/>
  <c r="B6" i="31"/>
  <c r="E46" i="30" l="1"/>
  <c r="C46" i="30"/>
  <c r="G9" i="34"/>
  <c r="V5" i="31"/>
  <c r="Z5" i="31" s="1"/>
  <c r="B5" i="31"/>
  <c r="R116" i="49"/>
  <c r="Q116" i="49"/>
  <c r="P116" i="49"/>
  <c r="O116" i="49"/>
  <c r="N116" i="49"/>
  <c r="M116" i="49"/>
  <c r="L116" i="49"/>
  <c r="K116" i="49"/>
  <c r="R114" i="49"/>
  <c r="Q114" i="49"/>
  <c r="P114" i="49"/>
  <c r="O114" i="49"/>
  <c r="N114" i="49"/>
  <c r="M114" i="49"/>
  <c r="L114" i="49"/>
  <c r="K114" i="49"/>
  <c r="R112" i="49"/>
  <c r="Q112" i="49"/>
  <c r="P112" i="49"/>
  <c r="O112" i="49"/>
  <c r="N112" i="49"/>
  <c r="M112" i="49"/>
  <c r="L112" i="49"/>
  <c r="K112" i="49"/>
  <c r="R110" i="49"/>
  <c r="Q110" i="49"/>
  <c r="P110" i="49"/>
  <c r="O110" i="49"/>
  <c r="N110" i="49"/>
  <c r="M110" i="49"/>
  <c r="L110" i="49"/>
  <c r="K110" i="49"/>
  <c r="R108" i="49"/>
  <c r="Q108" i="49"/>
  <c r="P108" i="49"/>
  <c r="O108" i="49"/>
  <c r="N108" i="49"/>
  <c r="M108" i="49"/>
  <c r="L108" i="49"/>
  <c r="K108" i="49"/>
  <c r="R106" i="49"/>
  <c r="Q106" i="49"/>
  <c r="P106" i="49"/>
  <c r="O106" i="49"/>
  <c r="N106" i="49"/>
  <c r="M106" i="49"/>
  <c r="L106" i="49"/>
  <c r="K106" i="49"/>
  <c r="R104" i="49"/>
  <c r="Q104" i="49"/>
  <c r="P104" i="49"/>
  <c r="O104" i="49"/>
  <c r="N104" i="49"/>
  <c r="M104" i="49"/>
  <c r="L104" i="49"/>
  <c r="K104" i="49"/>
  <c r="R102" i="49"/>
  <c r="Q102" i="49"/>
  <c r="P102" i="49"/>
  <c r="O102" i="49"/>
  <c r="N102" i="49"/>
  <c r="M102" i="49"/>
  <c r="L102" i="49"/>
  <c r="K102" i="49"/>
  <c r="R100" i="49"/>
  <c r="Q100" i="49"/>
  <c r="P100" i="49"/>
  <c r="O100" i="49"/>
  <c r="N100" i="49"/>
  <c r="M100" i="49"/>
  <c r="L100" i="49"/>
  <c r="K100" i="49"/>
  <c r="R98" i="49"/>
  <c r="Q98" i="49"/>
  <c r="P98" i="49"/>
  <c r="O98" i="49"/>
  <c r="N98" i="49"/>
  <c r="M98" i="49"/>
  <c r="L98" i="49"/>
  <c r="K98" i="49"/>
  <c r="R96" i="49"/>
  <c r="Q96" i="49"/>
  <c r="P96" i="49"/>
  <c r="O96" i="49"/>
  <c r="N96" i="49"/>
  <c r="M96" i="49"/>
  <c r="L96" i="49"/>
  <c r="K96" i="49"/>
  <c r="R94" i="49"/>
  <c r="Q94" i="49"/>
  <c r="P94" i="49"/>
  <c r="O94" i="49"/>
  <c r="N94" i="49"/>
  <c r="M94" i="49"/>
  <c r="L94" i="49"/>
  <c r="K94" i="49"/>
  <c r="R92" i="49"/>
  <c r="Q92" i="49"/>
  <c r="P92" i="49"/>
  <c r="O92" i="49"/>
  <c r="N92" i="49"/>
  <c r="M92" i="49"/>
  <c r="L92" i="49"/>
  <c r="K92" i="49"/>
  <c r="R90" i="49"/>
  <c r="Q90" i="49"/>
  <c r="P90" i="49"/>
  <c r="O90" i="49"/>
  <c r="N90" i="49"/>
  <c r="M90" i="49"/>
  <c r="L90" i="49"/>
  <c r="K90" i="49"/>
  <c r="R88" i="49"/>
  <c r="Q88" i="49"/>
  <c r="P88" i="49"/>
  <c r="O88" i="49"/>
  <c r="N88" i="49"/>
  <c r="M88" i="49"/>
  <c r="L88" i="49"/>
  <c r="K88" i="49"/>
  <c r="G88" i="49"/>
  <c r="E88" i="49"/>
  <c r="G87" i="49"/>
  <c r="E87" i="49"/>
  <c r="R86" i="49"/>
  <c r="Q86" i="49"/>
  <c r="P86" i="49"/>
  <c r="O86" i="49"/>
  <c r="N86" i="49"/>
  <c r="M86" i="49"/>
  <c r="L86" i="49"/>
  <c r="K86" i="49"/>
  <c r="G86" i="49"/>
  <c r="E86" i="49"/>
  <c r="R84" i="49"/>
  <c r="Q84" i="49"/>
  <c r="P84" i="49"/>
  <c r="O84" i="49"/>
  <c r="N84" i="49"/>
  <c r="M84" i="49"/>
  <c r="L84" i="49"/>
  <c r="K84" i="49"/>
  <c r="G83" i="49"/>
  <c r="E83" i="49"/>
  <c r="R82" i="49"/>
  <c r="Q82" i="49"/>
  <c r="P82" i="49"/>
  <c r="O82" i="49"/>
  <c r="N82" i="49"/>
  <c r="M82" i="49"/>
  <c r="L82" i="49"/>
  <c r="K82" i="49"/>
  <c r="G82" i="49"/>
  <c r="E82" i="49"/>
  <c r="G81" i="49"/>
  <c r="E81" i="49"/>
  <c r="R80" i="49"/>
  <c r="Q80" i="49"/>
  <c r="P80" i="49"/>
  <c r="O80" i="49"/>
  <c r="N80" i="49"/>
  <c r="M80" i="49"/>
  <c r="L80" i="49"/>
  <c r="K80" i="49"/>
  <c r="G80" i="49"/>
  <c r="E80" i="49"/>
  <c r="G79" i="49"/>
  <c r="E79" i="49"/>
  <c r="R78" i="49"/>
  <c r="Q78" i="49"/>
  <c r="P78" i="49"/>
  <c r="O78" i="49"/>
  <c r="N78" i="49"/>
  <c r="M78" i="49"/>
  <c r="L78" i="49"/>
  <c r="K78" i="49"/>
  <c r="G78" i="49"/>
  <c r="E78" i="49"/>
  <c r="G77" i="49"/>
  <c r="E77" i="49"/>
  <c r="R76" i="49"/>
  <c r="Q76" i="49"/>
  <c r="P76" i="49"/>
  <c r="O76" i="49"/>
  <c r="N76" i="49"/>
  <c r="M76" i="49"/>
  <c r="L76" i="49"/>
  <c r="K76" i="49"/>
  <c r="G76" i="49"/>
  <c r="E76" i="49"/>
  <c r="R74" i="49"/>
  <c r="Q74" i="49"/>
  <c r="P74" i="49"/>
  <c r="O74" i="49"/>
  <c r="N74" i="49"/>
  <c r="M74" i="49"/>
  <c r="L74" i="49"/>
  <c r="K74" i="49"/>
  <c r="G74" i="49"/>
  <c r="E74" i="49"/>
  <c r="G73" i="49"/>
  <c r="E73" i="49"/>
  <c r="R72" i="49"/>
  <c r="Q72" i="49"/>
  <c r="P72" i="49"/>
  <c r="O72" i="49"/>
  <c r="N72" i="49"/>
  <c r="M72" i="49"/>
  <c r="L72" i="49"/>
  <c r="K72" i="49"/>
  <c r="G72" i="49"/>
  <c r="E72" i="49"/>
  <c r="G71" i="49"/>
  <c r="E71" i="49"/>
  <c r="R70" i="49"/>
  <c r="Q70" i="49"/>
  <c r="P70" i="49"/>
  <c r="O70" i="49"/>
  <c r="N70" i="49"/>
  <c r="M70" i="49"/>
  <c r="L70" i="49"/>
  <c r="K70" i="49"/>
  <c r="G70" i="49"/>
  <c r="E70" i="49"/>
  <c r="G69" i="49"/>
  <c r="E69" i="49"/>
  <c r="R68" i="49"/>
  <c r="Q68" i="49"/>
  <c r="P68" i="49"/>
  <c r="O68" i="49"/>
  <c r="N68" i="49"/>
  <c r="M68" i="49"/>
  <c r="L68" i="49"/>
  <c r="K68" i="49"/>
  <c r="G68" i="49"/>
  <c r="E68" i="49"/>
  <c r="G67" i="49"/>
  <c r="E67" i="49"/>
  <c r="R66" i="49"/>
  <c r="Q66" i="49"/>
  <c r="P66" i="49"/>
  <c r="O66" i="49"/>
  <c r="N66" i="49"/>
  <c r="M66" i="49"/>
  <c r="L66" i="49"/>
  <c r="K66" i="49"/>
  <c r="R64" i="49"/>
  <c r="Q64" i="49"/>
  <c r="P64" i="49"/>
  <c r="O64" i="49"/>
  <c r="N64" i="49"/>
  <c r="M64" i="49"/>
  <c r="L64" i="49"/>
  <c r="K64" i="49"/>
  <c r="R62" i="49"/>
  <c r="Q62" i="49"/>
  <c r="P62" i="49"/>
  <c r="O62" i="49"/>
  <c r="N62" i="49"/>
  <c r="M62" i="49"/>
  <c r="L62" i="49"/>
  <c r="K62" i="49"/>
  <c r="R60" i="49"/>
  <c r="Q60" i="49"/>
  <c r="P60" i="49"/>
  <c r="O60" i="49"/>
  <c r="N60" i="49"/>
  <c r="M60" i="49"/>
  <c r="L60" i="49"/>
  <c r="K60" i="49"/>
  <c r="R58" i="49"/>
  <c r="Q58" i="49"/>
  <c r="P58" i="49"/>
  <c r="O58" i="49"/>
  <c r="N58" i="49"/>
  <c r="M58" i="49"/>
  <c r="L58" i="49"/>
  <c r="K58" i="49"/>
  <c r="R56" i="49"/>
  <c r="Q56" i="49"/>
  <c r="P56" i="49"/>
  <c r="O56" i="49"/>
  <c r="N56" i="49"/>
  <c r="M56" i="49"/>
  <c r="L56" i="49"/>
  <c r="K56" i="49"/>
  <c r="R54" i="49"/>
  <c r="Q54" i="49"/>
  <c r="P54" i="49"/>
  <c r="O54" i="49"/>
  <c r="N54" i="49"/>
  <c r="M54" i="49"/>
  <c r="L54" i="49"/>
  <c r="K54" i="49"/>
  <c r="R52" i="49"/>
  <c r="Q52" i="49"/>
  <c r="P52" i="49"/>
  <c r="O52" i="49"/>
  <c r="N52" i="49"/>
  <c r="M52" i="49"/>
  <c r="L52" i="49"/>
  <c r="K52" i="49"/>
  <c r="R50" i="49"/>
  <c r="Q50" i="49"/>
  <c r="P50" i="49"/>
  <c r="O50" i="49"/>
  <c r="N50" i="49"/>
  <c r="M50" i="49"/>
  <c r="L50" i="49"/>
  <c r="K50" i="49"/>
  <c r="R48" i="49"/>
  <c r="Q48" i="49"/>
  <c r="P48" i="49"/>
  <c r="O48" i="49"/>
  <c r="N48" i="49"/>
  <c r="M48" i="49"/>
  <c r="L48" i="49"/>
  <c r="K48" i="49"/>
  <c r="R46" i="49"/>
  <c r="Q46" i="49"/>
  <c r="P46" i="49"/>
  <c r="O46" i="49"/>
  <c r="N46" i="49"/>
  <c r="M46" i="49"/>
  <c r="L46" i="49"/>
  <c r="K46" i="49"/>
  <c r="R44" i="49"/>
  <c r="Q44" i="49"/>
  <c r="P44" i="49"/>
  <c r="O44" i="49"/>
  <c r="N44" i="49"/>
  <c r="M44" i="49"/>
  <c r="L44" i="49"/>
  <c r="K44" i="49"/>
  <c r="R42" i="49"/>
  <c r="Q42" i="49"/>
  <c r="P42" i="49"/>
  <c r="O42" i="49"/>
  <c r="N42" i="49"/>
  <c r="M42" i="49"/>
  <c r="L42" i="49"/>
  <c r="K42" i="49"/>
  <c r="R40" i="49"/>
  <c r="Q40" i="49"/>
  <c r="P40" i="49"/>
  <c r="O40" i="49"/>
  <c r="N40" i="49"/>
  <c r="M40" i="49"/>
  <c r="L40" i="49"/>
  <c r="K40" i="49"/>
  <c r="R38" i="49"/>
  <c r="Q38" i="49"/>
  <c r="P38" i="49"/>
  <c r="O38" i="49"/>
  <c r="N38" i="49"/>
  <c r="M38" i="49"/>
  <c r="L38" i="49"/>
  <c r="K38" i="49"/>
  <c r="R36" i="49"/>
  <c r="Q36" i="49"/>
  <c r="P36" i="49"/>
  <c r="O36" i="49"/>
  <c r="N36" i="49"/>
  <c r="M36" i="49"/>
  <c r="L36" i="49"/>
  <c r="K36" i="49"/>
  <c r="R34" i="49"/>
  <c r="Q34" i="49"/>
  <c r="P34" i="49"/>
  <c r="O34" i="49"/>
  <c r="N34" i="49"/>
  <c r="M34" i="49"/>
  <c r="L34" i="49"/>
  <c r="K34" i="49"/>
  <c r="R32" i="49"/>
  <c r="Q32" i="49"/>
  <c r="P32" i="49"/>
  <c r="O32" i="49"/>
  <c r="N32" i="49"/>
  <c r="M32" i="49"/>
  <c r="L32" i="49"/>
  <c r="K32" i="49"/>
  <c r="R30" i="49"/>
  <c r="Q30" i="49"/>
  <c r="P30" i="49"/>
  <c r="O30" i="49"/>
  <c r="N30" i="49"/>
  <c r="M30" i="49"/>
  <c r="L30" i="49"/>
  <c r="K30" i="49"/>
  <c r="R28" i="49"/>
  <c r="Q28" i="49"/>
  <c r="P28" i="49"/>
  <c r="O28" i="49"/>
  <c r="N28" i="49"/>
  <c r="M28" i="49"/>
  <c r="L28" i="49"/>
  <c r="K28" i="49"/>
  <c r="R26" i="49"/>
  <c r="Q26" i="49"/>
  <c r="P26" i="49"/>
  <c r="O26" i="49"/>
  <c r="N26" i="49"/>
  <c r="M26" i="49"/>
  <c r="L26" i="49"/>
  <c r="K26" i="49"/>
  <c r="R24" i="49"/>
  <c r="Q24" i="49"/>
  <c r="P24" i="49"/>
  <c r="O24" i="49"/>
  <c r="N24" i="49"/>
  <c r="M24" i="49"/>
  <c r="L24" i="49"/>
  <c r="K24" i="49"/>
  <c r="R22" i="49"/>
  <c r="Q22" i="49"/>
  <c r="P22" i="49"/>
  <c r="O22" i="49"/>
  <c r="N22" i="49"/>
  <c r="M22" i="49"/>
  <c r="L22" i="49"/>
  <c r="K22" i="49"/>
  <c r="R20" i="49"/>
  <c r="Q20" i="49"/>
  <c r="P20" i="49"/>
  <c r="O20" i="49"/>
  <c r="N20" i="49"/>
  <c r="M20" i="49"/>
  <c r="L20" i="49"/>
  <c r="K20" i="49"/>
  <c r="H8" i="49"/>
  <c r="G8" i="49"/>
  <c r="F8" i="49"/>
  <c r="E8" i="49"/>
  <c r="D8" i="49"/>
  <c r="H7" i="49"/>
  <c r="G7" i="49"/>
  <c r="F7" i="49"/>
  <c r="E7" i="49"/>
  <c r="D7" i="49"/>
  <c r="H6" i="49"/>
  <c r="G6" i="49"/>
  <c r="F6" i="49"/>
  <c r="E6" i="49"/>
  <c r="D6" i="49"/>
  <c r="H5" i="49"/>
  <c r="G5" i="49"/>
  <c r="F5" i="49"/>
  <c r="E5" i="49"/>
  <c r="D5" i="49"/>
  <c r="H4" i="49"/>
  <c r="G4" i="49"/>
  <c r="F4" i="49"/>
  <c r="E4" i="49"/>
  <c r="D4" i="49"/>
  <c r="D24" i="47"/>
  <c r="B34" i="50" s="1"/>
  <c r="B35" i="50" s="1"/>
  <c r="C22" i="47"/>
  <c r="E21" i="47"/>
  <c r="D21" i="47"/>
  <c r="C21" i="47"/>
  <c r="A21" i="47"/>
  <c r="C20" i="47"/>
  <c r="E19" i="47"/>
  <c r="D19" i="47"/>
  <c r="C19" i="47"/>
  <c r="A19" i="47"/>
  <c r="C18" i="47"/>
  <c r="E17" i="47"/>
  <c r="D17" i="47"/>
  <c r="C17" i="47"/>
  <c r="A17" i="47"/>
  <c r="C16" i="47"/>
  <c r="E15" i="47"/>
  <c r="D15" i="47"/>
  <c r="C15" i="47"/>
  <c r="A15" i="47"/>
  <c r="C14" i="47"/>
  <c r="E13" i="47"/>
  <c r="D13" i="47"/>
  <c r="C13" i="47"/>
  <c r="A13" i="47"/>
  <c r="E10" i="47"/>
  <c r="A10" i="47"/>
  <c r="C7" i="47"/>
  <c r="B7" i="47"/>
  <c r="A7" i="47"/>
  <c r="C6" i="47"/>
  <c r="B6" i="47"/>
  <c r="A6" i="47"/>
  <c r="C5" i="47"/>
  <c r="B5" i="47"/>
  <c r="A5" i="47"/>
  <c r="P26" i="46"/>
  <c r="O26" i="46"/>
  <c r="L26" i="46"/>
  <c r="K26" i="46"/>
  <c r="M26" i="46" s="1"/>
  <c r="J26" i="46"/>
  <c r="P24" i="46"/>
  <c r="O24" i="46"/>
  <c r="L24" i="46"/>
  <c r="K24" i="46"/>
  <c r="M24" i="46" s="1"/>
  <c r="J24" i="46"/>
  <c r="F24" i="46"/>
  <c r="P22" i="46"/>
  <c r="O22" i="46"/>
  <c r="L22" i="46"/>
  <c r="K22" i="46"/>
  <c r="M22" i="46" s="1"/>
  <c r="J22" i="46"/>
  <c r="F22" i="46"/>
  <c r="P20" i="46"/>
  <c r="O20" i="46"/>
  <c r="L20" i="46"/>
  <c r="K20" i="46"/>
  <c r="M20" i="46" s="1"/>
  <c r="J20" i="46"/>
  <c r="F20" i="46"/>
  <c r="P18" i="46"/>
  <c r="O18" i="46"/>
  <c r="L18" i="46"/>
  <c r="K18" i="46"/>
  <c r="M18" i="46" s="1"/>
  <c r="J18" i="46"/>
  <c r="F18" i="46"/>
  <c r="P16" i="46"/>
  <c r="O16" i="46"/>
  <c r="L16" i="46"/>
  <c r="K16" i="46"/>
  <c r="M16" i="46" s="1"/>
  <c r="J16" i="46"/>
  <c r="F16" i="46"/>
  <c r="C13" i="46"/>
  <c r="J12" i="45"/>
  <c r="I12" i="45"/>
  <c r="F12" i="45"/>
  <c r="E12" i="45"/>
  <c r="C12" i="45"/>
  <c r="J10" i="45"/>
  <c r="I10" i="45"/>
  <c r="G10" i="45"/>
  <c r="F10" i="45"/>
  <c r="E10" i="45"/>
  <c r="D10" i="45"/>
  <c r="C10" i="45"/>
  <c r="C2" i="44"/>
  <c r="B58" i="39"/>
  <c r="B57" i="39"/>
  <c r="B56" i="39"/>
  <c r="B55" i="39"/>
  <c r="B54" i="39"/>
  <c r="B53" i="39"/>
  <c r="B52" i="39"/>
  <c r="B51" i="39"/>
  <c r="B50" i="39"/>
  <c r="BI2" i="44"/>
  <c r="BH2" i="44"/>
  <c r="BG2" i="44"/>
  <c r="BF2" i="44"/>
  <c r="BE2" i="44"/>
  <c r="BD2" i="44"/>
  <c r="BC2" i="44"/>
  <c r="BB2" i="44"/>
  <c r="BA2" i="44"/>
  <c r="AZ2" i="44"/>
  <c r="AY2" i="44"/>
  <c r="AT2" i="44"/>
  <c r="AS2" i="44"/>
  <c r="AR2" i="44"/>
  <c r="AQ2" i="44"/>
  <c r="AP2" i="44"/>
  <c r="AO2" i="44"/>
  <c r="AN2" i="44"/>
  <c r="AM2" i="44"/>
  <c r="AL2" i="44"/>
  <c r="AK2" i="44"/>
  <c r="AJ2" i="44"/>
  <c r="AI2" i="44"/>
  <c r="AH2" i="44"/>
  <c r="AG2" i="44"/>
  <c r="AF2" i="44"/>
  <c r="AE2" i="44"/>
  <c r="AD2" i="44"/>
  <c r="AC2" i="44"/>
  <c r="Z2" i="44"/>
  <c r="Y2" i="44"/>
  <c r="X2" i="44"/>
  <c r="W2" i="44"/>
  <c r="V2" i="44"/>
  <c r="U2" i="44"/>
  <c r="T2" i="44"/>
  <c r="S2" i="44"/>
  <c r="R2" i="44"/>
  <c r="Q2" i="44"/>
  <c r="P2" i="44"/>
  <c r="O2" i="44"/>
  <c r="N2" i="44"/>
  <c r="M2" i="44"/>
  <c r="L2" i="44"/>
  <c r="K2" i="44"/>
  <c r="J2" i="44"/>
  <c r="I2" i="44"/>
  <c r="H2" i="44"/>
  <c r="G2" i="44"/>
  <c r="F2" i="44"/>
  <c r="D2" i="44"/>
  <c r="E2" i="44"/>
  <c r="B2" i="44"/>
  <c r="AA14" i="40"/>
  <c r="AB30" i="40"/>
  <c r="AA30" i="40"/>
  <c r="AB26" i="40"/>
  <c r="AA26" i="40"/>
  <c r="AB22" i="40"/>
  <c r="AA22" i="40"/>
  <c r="AB18" i="40"/>
  <c r="AA18" i="40"/>
  <c r="AB14" i="40"/>
  <c r="J23" i="36"/>
  <c r="E45" i="38"/>
  <c r="E44" i="38"/>
  <c r="E37" i="38"/>
  <c r="E30" i="38"/>
  <c r="L8" i="36"/>
  <c r="L7" i="36"/>
  <c r="O3" i="36"/>
  <c r="R4" i="36"/>
  <c r="T45" i="40"/>
  <c r="H45" i="40"/>
  <c r="I44" i="40"/>
  <c r="V44" i="40" s="1"/>
  <c r="G44" i="40"/>
  <c r="X30" i="40"/>
  <c r="W30" i="40"/>
  <c r="V30" i="40"/>
  <c r="J30" i="40"/>
  <c r="X26" i="40"/>
  <c r="W26" i="40"/>
  <c r="V26" i="40"/>
  <c r="J26" i="40"/>
  <c r="X22" i="40"/>
  <c r="W22" i="40"/>
  <c r="V22" i="40"/>
  <c r="J22" i="40"/>
  <c r="X18" i="40"/>
  <c r="W18" i="40"/>
  <c r="V18" i="40"/>
  <c r="J18" i="40"/>
  <c r="X14" i="40"/>
  <c r="J14" i="40"/>
  <c r="W14" i="40" s="1"/>
  <c r="V8" i="40"/>
  <c r="D8" i="40"/>
  <c r="D7" i="40"/>
  <c r="W6" i="40"/>
  <c r="D6" i="40"/>
  <c r="B11" i="22"/>
  <c r="H9" i="22"/>
  <c r="H10" i="23" s="1"/>
  <c r="H11" i="22"/>
  <c r="G11" i="22"/>
  <c r="D11" i="22"/>
  <c r="B9" i="22"/>
  <c r="B10" i="23" s="1"/>
  <c r="H6" i="22"/>
  <c r="B6" i="22"/>
  <c r="E1" i="38"/>
  <c r="D38" i="39"/>
  <c r="F38" i="39" s="1"/>
  <c r="D39" i="39"/>
  <c r="D40" i="39"/>
  <c r="D41" i="39"/>
  <c r="D42" i="39"/>
  <c r="D43" i="39"/>
  <c r="D44" i="39"/>
  <c r="F44" i="39" s="1"/>
  <c r="D45" i="39"/>
  <c r="F45" i="39" s="1"/>
  <c r="D46" i="39"/>
  <c r="B46" i="39"/>
  <c r="B45" i="39"/>
  <c r="B44" i="39"/>
  <c r="B43" i="39"/>
  <c r="B42" i="39"/>
  <c r="B39" i="39"/>
  <c r="B38" i="39"/>
  <c r="B40" i="39"/>
  <c r="B41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B34" i="39"/>
  <c r="B33" i="39"/>
  <c r="B32" i="39"/>
  <c r="B31" i="39"/>
  <c r="B30" i="39"/>
  <c r="B29" i="39"/>
  <c r="B28" i="39"/>
  <c r="B27" i="39"/>
  <c r="B23" i="39"/>
  <c r="B24" i="39"/>
  <c r="B25" i="39"/>
  <c r="B26" i="39"/>
  <c r="E68" i="38"/>
  <c r="E67" i="38"/>
  <c r="E66" i="38"/>
  <c r="E12" i="38"/>
  <c r="H43" i="30"/>
  <c r="I43" i="38"/>
  <c r="I42" i="38"/>
  <c r="H42" i="38"/>
  <c r="E32" i="38"/>
  <c r="E31" i="38"/>
  <c r="E36" i="38"/>
  <c r="E38" i="38"/>
  <c r="E62" i="38"/>
  <c r="E35" i="38"/>
  <c r="E33" i="38"/>
  <c r="E22" i="38"/>
  <c r="E18" i="38"/>
  <c r="E16" i="38"/>
  <c r="E21" i="38"/>
  <c r="E26" i="38"/>
  <c r="E28" i="38"/>
  <c r="E10" i="38"/>
  <c r="E9" i="38"/>
  <c r="H4" i="38"/>
  <c r="E5" i="38"/>
  <c r="E6" i="38"/>
  <c r="E7" i="38"/>
  <c r="E8" i="38" s="1"/>
  <c r="E4" i="38"/>
  <c r="R64" i="37"/>
  <c r="W62" i="37"/>
  <c r="X62" i="37" s="1"/>
  <c r="X57" i="37"/>
  <c r="R51" i="37"/>
  <c r="W49" i="37"/>
  <c r="X49" i="37" s="1"/>
  <c r="X44" i="37"/>
  <c r="R38" i="37"/>
  <c r="W36" i="37"/>
  <c r="X36" i="37" s="1"/>
  <c r="X31" i="37"/>
  <c r="R25" i="37"/>
  <c r="W23" i="37"/>
  <c r="X23" i="37" s="1"/>
  <c r="X18" i="37"/>
  <c r="R12" i="37"/>
  <c r="W10" i="37"/>
  <c r="X10" i="37" s="1"/>
  <c r="X5" i="37"/>
  <c r="X12" i="36"/>
  <c r="R4" i="31"/>
  <c r="J4" i="31"/>
  <c r="N4" i="31"/>
  <c r="V7" i="31"/>
  <c r="Z7" i="31"/>
  <c r="V8" i="31"/>
  <c r="Z8" i="31"/>
  <c r="V9" i="31"/>
  <c r="Z9" i="31"/>
  <c r="AG10" i="31"/>
  <c r="X16" i="31"/>
  <c r="AE22" i="31"/>
  <c r="AG22" i="31"/>
  <c r="AE23" i="31"/>
  <c r="AE24" i="31"/>
  <c r="AE25" i="31"/>
  <c r="AE26" i="31"/>
  <c r="AE27" i="31"/>
  <c r="AE28" i="31"/>
  <c r="AE29" i="31"/>
  <c r="AE30" i="31"/>
  <c r="AE31" i="31"/>
  <c r="AE32" i="31"/>
  <c r="AE33" i="31"/>
  <c r="AE34" i="31"/>
  <c r="H41" i="30"/>
  <c r="Q1" i="30"/>
  <c r="N12" i="30"/>
  <c r="H42" i="30"/>
  <c r="H45" i="30"/>
  <c r="J12" i="23"/>
  <c r="I12" i="23"/>
  <c r="G12" i="23"/>
  <c r="F12" i="23"/>
  <c r="E12" i="23"/>
  <c r="C12" i="23"/>
  <c r="F10" i="23"/>
  <c r="E10" i="23"/>
  <c r="D10" i="23"/>
  <c r="C10" i="23"/>
  <c r="J10" i="23"/>
  <c r="I10" i="23"/>
  <c r="G10" i="23"/>
  <c r="B7" i="23"/>
  <c r="AE77" i="11"/>
  <c r="AF77" i="11"/>
  <c r="AG77" i="11"/>
  <c r="AF78" i="11"/>
  <c r="AG78" i="11"/>
  <c r="AE79" i="11"/>
  <c r="AF79" i="11"/>
  <c r="AG79" i="11"/>
  <c r="V10" i="31" l="1"/>
  <c r="AD10" i="31" s="1"/>
  <c r="X68" i="37"/>
  <c r="AC22" i="40"/>
  <c r="S22" i="40" s="1"/>
  <c r="T22" i="40" s="1"/>
  <c r="Z22" i="40" s="1"/>
  <c r="AC30" i="40"/>
  <c r="S30" i="40" s="1"/>
  <c r="T30" i="40" s="1"/>
  <c r="Z30" i="40" s="1"/>
  <c r="Z10" i="31"/>
  <c r="O17" i="31" s="1"/>
  <c r="Z45" i="40"/>
  <c r="AA45" i="40" s="1"/>
  <c r="AC18" i="40"/>
  <c r="S18" i="40" s="1"/>
  <c r="T18" i="40" s="1"/>
  <c r="Z18" i="40" s="1"/>
  <c r="AC26" i="40"/>
  <c r="S26" i="40" s="1"/>
  <c r="T26" i="40" s="1"/>
  <c r="Z26" i="40" s="1"/>
  <c r="H7" i="23"/>
  <c r="H7" i="51"/>
  <c r="D12" i="23"/>
  <c r="D12" i="51"/>
  <c r="H12" i="23"/>
  <c r="H12" i="51"/>
  <c r="B12" i="23"/>
  <c r="B12" i="51"/>
  <c r="B9" i="34"/>
  <c r="B10" i="51"/>
  <c r="G11" i="34"/>
  <c r="G12" i="51"/>
  <c r="H10" i="45"/>
  <c r="H10" i="51"/>
  <c r="I21" i="47"/>
  <c r="B7" i="45"/>
  <c r="B7" i="51"/>
  <c r="F21" i="47"/>
  <c r="F17" i="47"/>
  <c r="F15" i="47"/>
  <c r="F19" i="47"/>
  <c r="F13" i="47"/>
  <c r="AA2" i="44"/>
  <c r="AB2" i="44"/>
  <c r="AX2" i="44"/>
  <c r="H12" i="45"/>
  <c r="H11" i="34"/>
  <c r="G12" i="45"/>
  <c r="D12" i="45"/>
  <c r="D11" i="34"/>
  <c r="B12" i="45"/>
  <c r="B11" i="34"/>
  <c r="H9" i="34"/>
  <c r="B10" i="45"/>
  <c r="H6" i="34"/>
  <c r="B6" i="34"/>
  <c r="H7" i="45"/>
  <c r="H21" i="47"/>
  <c r="H19" i="47"/>
  <c r="H17" i="47"/>
  <c r="H15" i="47"/>
  <c r="H13" i="47"/>
  <c r="I13" i="47"/>
  <c r="Y13" i="47"/>
  <c r="Z13" i="47" s="1"/>
  <c r="AA13" i="47" s="1"/>
  <c r="J13" i="47" s="1"/>
  <c r="I15" i="47"/>
  <c r="Y15" i="47"/>
  <c r="Z15" i="47" s="1"/>
  <c r="AA15" i="47" s="1"/>
  <c r="J15" i="47" s="1"/>
  <c r="I17" i="47"/>
  <c r="Y17" i="47"/>
  <c r="Z17" i="47" s="1"/>
  <c r="AA17" i="47" s="1"/>
  <c r="J17" i="47" s="1"/>
  <c r="I19" i="47"/>
  <c r="Y19" i="47"/>
  <c r="Z19" i="47" s="1"/>
  <c r="AA19" i="47" s="1"/>
  <c r="J19" i="47" s="1"/>
  <c r="Y21" i="47"/>
  <c r="Z21" i="47" s="1"/>
  <c r="AA21" i="47" s="1"/>
  <c r="J21" i="47" s="1"/>
  <c r="F46" i="39"/>
  <c r="AC14" i="40"/>
  <c r="S14" i="40" s="1"/>
  <c r="T14" i="40" s="1"/>
  <c r="Z14" i="40" s="1"/>
  <c r="Z36" i="40" s="1"/>
  <c r="J44" i="40"/>
  <c r="W44" i="40" s="1"/>
  <c r="E13" i="38"/>
  <c r="F43" i="39"/>
  <c r="F41" i="39"/>
  <c r="F39" i="39"/>
  <c r="E56" i="38"/>
  <c r="F40" i="39"/>
  <c r="F42" i="39"/>
  <c r="E70" i="38"/>
  <c r="I44" i="38"/>
  <c r="H44" i="30"/>
  <c r="H46" i="30" s="1"/>
  <c r="AW2" i="44" s="1"/>
  <c r="N15" i="47" l="1"/>
  <c r="O15" i="47" s="1"/>
  <c r="N19" i="47"/>
  <c r="O19" i="47" s="1"/>
  <c r="N13" i="47"/>
  <c r="O13" i="47" s="1"/>
  <c r="N17" i="47"/>
  <c r="O17" i="47" s="1"/>
  <c r="N21" i="47"/>
  <c r="O21" i="47" s="1"/>
  <c r="E14" i="38"/>
  <c r="Z37" i="40"/>
  <c r="Z40" i="40"/>
  <c r="M44" i="40" s="1"/>
  <c r="Z44" i="40" s="1"/>
  <c r="Z38" i="40"/>
  <c r="Z39" i="40"/>
  <c r="O25" i="47" l="1"/>
  <c r="O24" i="47"/>
  <c r="I17" i="31" s="1"/>
  <c r="X17" i="31" s="1"/>
  <c r="X18" i="31" s="1"/>
  <c r="B50" i="30" s="1"/>
  <c r="AA44" i="40"/>
  <c r="Z46" i="40"/>
  <c r="BJ2" i="44" l="1"/>
  <c r="N50" i="30"/>
  <c r="E58" i="38"/>
  <c r="P12" i="30"/>
  <c r="O26" i="47"/>
  <c r="O27" i="47"/>
  <c r="N32" i="47" s="1"/>
  <c r="N31" i="47"/>
  <c r="O28" i="47"/>
  <c r="N30" i="47" s="1"/>
</calcChain>
</file>

<file path=xl/comments1.xml><?xml version="1.0" encoding="utf-8"?>
<comments xmlns="http://schemas.openxmlformats.org/spreadsheetml/2006/main">
  <authors>
    <author>F657611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Campo para uso do Banco</t>
        </r>
      </text>
    </comment>
  </commentList>
</comments>
</file>

<file path=xl/comments2.xml><?xml version="1.0" encoding="utf-8"?>
<comments xmlns="http://schemas.openxmlformats.org/spreadsheetml/2006/main">
  <authors>
    <author>F657611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inserir fotos internas do imóvel. Preferencialmente: sala, cozinha, bh, dormitório, via de acesso. No máximo na quantidade desta folha.</t>
        </r>
      </text>
    </comment>
  </commentList>
</comments>
</file>

<file path=xl/comments3.xml><?xml version="1.0" encoding="utf-8"?>
<comments xmlns="http://schemas.openxmlformats.org/spreadsheetml/2006/main">
  <authors>
    <author>F657611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fotos adicionais em casos de vícios construtivos, condições atípicas do imóvel.</t>
        </r>
      </text>
    </comment>
  </commentList>
</comments>
</file>

<file path=xl/comments4.xml><?xml version="1.0" encoding="utf-8"?>
<comments xmlns="http://schemas.openxmlformats.org/spreadsheetml/2006/main">
  <authors>
    <author>F657611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favor inserir documentação scaneada</t>
        </r>
      </text>
    </comment>
  </commentList>
</comments>
</file>

<file path=xl/comments5.xml><?xml version="1.0" encoding="utf-8"?>
<comments xmlns="http://schemas.openxmlformats.org/spreadsheetml/2006/main">
  <authors>
    <author>F657611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favor inserir documentação scaneada</t>
        </r>
      </text>
    </comment>
  </commentList>
</comments>
</file>

<file path=xl/comments6.xml><?xml version="1.0" encoding="utf-8"?>
<comments xmlns="http://schemas.openxmlformats.org/spreadsheetml/2006/main">
  <authors>
    <author>F657611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</rPr>
          <t>F657611:</t>
        </r>
        <r>
          <rPr>
            <sz val="8"/>
            <color indexed="81"/>
            <rFont val="Tahoma"/>
            <family val="2"/>
          </rPr>
          <t xml:space="preserve">
favor inserir documentação scaneada</t>
        </r>
      </text>
    </comment>
  </commentList>
</comments>
</file>

<file path=xl/comments7.xml><?xml version="1.0" encoding="utf-8"?>
<comments xmlns="http://schemas.openxmlformats.org/spreadsheetml/2006/main">
  <authors>
    <author>CPD</author>
  </authors>
  <commentList>
    <comment ref="F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1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F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1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2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22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F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24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J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K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L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M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O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  <comment ref="P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NÃO ALTERAR ESTA CÉLULA!!!</t>
        </r>
      </text>
    </comment>
  </commentList>
</comments>
</file>

<file path=xl/sharedStrings.xml><?xml version="1.0" encoding="utf-8"?>
<sst xmlns="http://schemas.openxmlformats.org/spreadsheetml/2006/main" count="1764" uniqueCount="979">
  <si>
    <t>Bairro</t>
  </si>
  <si>
    <t>Município</t>
  </si>
  <si>
    <t>Idade Aparente</t>
  </si>
  <si>
    <t>Alto</t>
  </si>
  <si>
    <t>Médio</t>
  </si>
  <si>
    <t>Bom</t>
  </si>
  <si>
    <t>Regular</t>
  </si>
  <si>
    <t>Ruim</t>
  </si>
  <si>
    <t>Baixo</t>
  </si>
  <si>
    <t>Rede de água</t>
  </si>
  <si>
    <t>Rede elétrica</t>
  </si>
  <si>
    <t>Rede de gás</t>
  </si>
  <si>
    <t>Rede de esgoto</t>
  </si>
  <si>
    <t>Iluminação pública</t>
  </si>
  <si>
    <t>Passeio</t>
  </si>
  <si>
    <t>Fossa</t>
  </si>
  <si>
    <t>CEP</t>
  </si>
  <si>
    <t>Cozinha</t>
  </si>
  <si>
    <t>Formato</t>
  </si>
  <si>
    <t>Topografia</t>
  </si>
  <si>
    <t>Suite</t>
  </si>
  <si>
    <t>Banheiro Social</t>
  </si>
  <si>
    <t>SuperCasa Própria</t>
  </si>
  <si>
    <t>SuperCasa Própria + FGTS</t>
  </si>
  <si>
    <t>SuperCasa 20</t>
  </si>
  <si>
    <t>FGTS a vista</t>
  </si>
  <si>
    <t>CPF</t>
  </si>
  <si>
    <t>Sobrado</t>
  </si>
  <si>
    <t>Chácara</t>
  </si>
  <si>
    <t>Loja</t>
  </si>
  <si>
    <t>Conjunto Comercial</t>
  </si>
  <si>
    <t>Terreno</t>
  </si>
  <si>
    <t>nº</t>
  </si>
  <si>
    <t>UF</t>
  </si>
  <si>
    <t>vista do mar</t>
  </si>
  <si>
    <t>histórico de alagamento</t>
  </si>
  <si>
    <t>risco ambiental</t>
  </si>
  <si>
    <t>As áreas informadas na matrícula conferem com a encontrada no local?</t>
  </si>
  <si>
    <t>Para a avaliação, foram fornecidos matrícula e IPTU do imóvel?</t>
  </si>
  <si>
    <t>As áreas informadas no IPTU conferem com a encontrada no local?</t>
  </si>
  <si>
    <t>O imóvel possui vaga de garagem?</t>
  </si>
  <si>
    <t>Se tem vagas, elas estão documentadas?</t>
  </si>
  <si>
    <t>Data da vistoria</t>
  </si>
  <si>
    <t>O imóvel tem um único uso (só residencial ou só comercial)?</t>
  </si>
  <si>
    <t>SuperCasa Própria (Exclusivo)</t>
  </si>
  <si>
    <t>SuperCasa Própria (Exclusivo) + FGTS</t>
  </si>
  <si>
    <t>SuperCasa 20 + FGTS</t>
  </si>
  <si>
    <t>SuperOffice</t>
  </si>
  <si>
    <t>Apartamento tipo</t>
  </si>
  <si>
    <t>Apartamento dúplex</t>
  </si>
  <si>
    <t>Cobertura dúplex</t>
  </si>
  <si>
    <t>Cobertura plana</t>
  </si>
  <si>
    <t>Cobertura tríplex</t>
  </si>
  <si>
    <t>Casa térrea</t>
  </si>
  <si>
    <t>Médio-baixo</t>
  </si>
  <si>
    <t>Médio-alto</t>
  </si>
  <si>
    <t>Entre bom e regular</t>
  </si>
  <si>
    <t>Entre regular e ruim</t>
  </si>
  <si>
    <t>Área privativa</t>
  </si>
  <si>
    <t>Área construída averbada</t>
  </si>
  <si>
    <t>Área comum</t>
  </si>
  <si>
    <t>Área construída não averbada</t>
  </si>
  <si>
    <t>Casa térrea em cond. fechado</t>
  </si>
  <si>
    <t>Sobrado em cond. fechado</t>
  </si>
  <si>
    <t>Complemento</t>
  </si>
  <si>
    <t>Tipo de Imóvel</t>
  </si>
  <si>
    <t>Padrão Construtivo</t>
  </si>
  <si>
    <t>Total</t>
  </si>
  <si>
    <t>Data</t>
  </si>
  <si>
    <t>Conservação</t>
  </si>
  <si>
    <t>F. Ideal (%)</t>
  </si>
  <si>
    <t>Área total</t>
  </si>
  <si>
    <t>x</t>
  </si>
  <si>
    <t>Rede telefônica</t>
  </si>
  <si>
    <t>Guias e sargetas</t>
  </si>
  <si>
    <t>Gerador</t>
  </si>
  <si>
    <t>Sauna</t>
  </si>
  <si>
    <t>Play Ground</t>
  </si>
  <si>
    <t>Apto. do zelador</t>
  </si>
  <si>
    <t>Churrasqueira</t>
  </si>
  <si>
    <t>Guarita</t>
  </si>
  <si>
    <t>Águas pluviais</t>
  </si>
  <si>
    <t>Asfalto</t>
  </si>
  <si>
    <t>Quadra Esportiva</t>
  </si>
  <si>
    <t>Lavanderia</t>
  </si>
  <si>
    <t>Vigilância</t>
  </si>
  <si>
    <t>Comércio Local</t>
  </si>
  <si>
    <t>Centros de Ensino</t>
  </si>
  <si>
    <t>Shopping Center</t>
  </si>
  <si>
    <t>O imóvel está concluído, sem sinais de reforma ou obras?</t>
  </si>
  <si>
    <t>O imóvel é construído em concreto e alvenaria, sem complementos de madeira ou pré-moldado?</t>
  </si>
  <si>
    <t>O imóvel possui características uni-familiares?</t>
  </si>
  <si>
    <t>O imóvel está bem conservado e visualmente sem apresentar vícios construtivos?</t>
  </si>
  <si>
    <t>O imóvel constitui boa garantia dentro das atuais condições do mercado imobiliário e sua liquidez?</t>
  </si>
  <si>
    <t>O imóvel apresenta condições de habitalidade ?</t>
  </si>
  <si>
    <t>favela</t>
  </si>
  <si>
    <t>córrego</t>
  </si>
  <si>
    <t>Paralelepípedo</t>
  </si>
  <si>
    <t>Praia</t>
  </si>
  <si>
    <t>padrão construtivo</t>
  </si>
  <si>
    <t>densidade demográfica</t>
  </si>
  <si>
    <t>tráfego no trecho</t>
  </si>
  <si>
    <t>CÔMODO</t>
  </si>
  <si>
    <t>QTDE</t>
  </si>
  <si>
    <t>PAREDES</t>
  </si>
  <si>
    <t>PISOS</t>
  </si>
  <si>
    <t>TETO</t>
  </si>
  <si>
    <t>ESQUADRIAS</t>
  </si>
  <si>
    <t>Piscina</t>
  </si>
  <si>
    <t>Sala de Estar</t>
  </si>
  <si>
    <t>Sala de Jantar</t>
  </si>
  <si>
    <t>Lavabo</t>
  </si>
  <si>
    <t>Escritório</t>
  </si>
  <si>
    <t>Sala de TV</t>
  </si>
  <si>
    <t>Banheiro Suite</t>
  </si>
  <si>
    <t>Dormitório</t>
  </si>
  <si>
    <t>Despensa</t>
  </si>
  <si>
    <t>Dorm. Empregada</t>
  </si>
  <si>
    <t>WC Empregada</t>
  </si>
  <si>
    <t>Terraço</t>
  </si>
  <si>
    <t>Canil</t>
  </si>
  <si>
    <t>Empreendimento:</t>
  </si>
  <si>
    <t>Endereço:</t>
  </si>
  <si>
    <t>Bairro:</t>
  </si>
  <si>
    <t>Cidade:</t>
  </si>
  <si>
    <t>UF:</t>
  </si>
  <si>
    <t>Fonte/ telefone:</t>
  </si>
  <si>
    <t>Tipo:</t>
  </si>
  <si>
    <t>Padrão de construção:</t>
  </si>
  <si>
    <t>N.º vagas</t>
  </si>
  <si>
    <t>Estado de conservação</t>
  </si>
  <si>
    <t>Amostra n.º 1</t>
  </si>
  <si>
    <t>Real Averb.</t>
  </si>
  <si>
    <t>Compartimento</t>
  </si>
  <si>
    <t>Real Total</t>
  </si>
  <si>
    <t>Totais</t>
  </si>
  <si>
    <t>R$</t>
  </si>
  <si>
    <t>m²</t>
  </si>
  <si>
    <t>=</t>
  </si>
  <si>
    <t>N.º dormitórios / suites</t>
  </si>
  <si>
    <t>Valor unitário (R$/m²)</t>
  </si>
  <si>
    <t>oferta / transação</t>
  </si>
  <si>
    <t>Amostra n.º 2</t>
  </si>
  <si>
    <t>Amostra n.º 3</t>
  </si>
  <si>
    <t>Amostra n.º 4</t>
  </si>
  <si>
    <t>Amostra n.º 5</t>
  </si>
  <si>
    <t>A. privativa / construída (m²)</t>
  </si>
  <si>
    <t>Área total / terreno (m²)</t>
  </si>
  <si>
    <t>2 - Cliente</t>
  </si>
  <si>
    <t>Distância até o avaliando (km)</t>
  </si>
  <si>
    <t>Idade Aparente (anos):</t>
  </si>
  <si>
    <t>Valor total (R$)</t>
  </si>
  <si>
    <t>Valor Adotado</t>
  </si>
  <si>
    <r>
      <t xml:space="preserve">Infra Estrutura / Equipamentos </t>
    </r>
    <r>
      <rPr>
        <sz val="9"/>
        <rFont val="Arial"/>
        <family val="2"/>
      </rPr>
      <t>(marcar com "X")</t>
    </r>
  </si>
  <si>
    <t>Áreas</t>
  </si>
  <si>
    <t>Avaliação</t>
  </si>
  <si>
    <t>Havendo uma ou mais respostas negativas ou demais considerações, favor justificar abaixo:</t>
  </si>
  <si>
    <t>Cliente</t>
  </si>
  <si>
    <t>Endereço</t>
  </si>
  <si>
    <t>Área (m²)</t>
  </si>
  <si>
    <t>Testada (m)</t>
  </si>
  <si>
    <t>4 - IMÓVEL</t>
  </si>
  <si>
    <t>5 - AVALIAÇÃO</t>
  </si>
  <si>
    <t>6 - COMPOSIÇÃO E ACABAMENTOS DA UNIDADE</t>
  </si>
  <si>
    <t>O imóvel está inserido em área urbana, com principais melhoramentos públicos?</t>
  </si>
  <si>
    <t>ISOLADO</t>
  </si>
  <si>
    <t xml:space="preserve"> PARECER</t>
  </si>
  <si>
    <t xml:space="preserve"> Operação</t>
  </si>
  <si>
    <t>Real Privativa.</t>
  </si>
  <si>
    <r>
      <t>10 - INFORMAÇÕES COMPLEMENTARES</t>
    </r>
    <r>
      <rPr>
        <sz val="10"/>
        <rFont val="Arial"/>
        <family val="2"/>
      </rPr>
      <t xml:space="preserve"> (marcar com "X" caso a resposta seja negativa)</t>
    </r>
  </si>
  <si>
    <t>NÃO</t>
  </si>
  <si>
    <t>Empresa / CREA / Assinatura</t>
  </si>
  <si>
    <t>Uso exclusivo da Engenharia do Banco</t>
  </si>
  <si>
    <t>SUB-SOLO</t>
  </si>
  <si>
    <t>TÉRREO</t>
  </si>
  <si>
    <t>ANDAR TIPO</t>
  </si>
  <si>
    <t>COBERTURA</t>
  </si>
  <si>
    <t>Descrição suscinta do imóvel</t>
  </si>
  <si>
    <t>7 - MICRO-REGIÃO</t>
  </si>
  <si>
    <r>
      <t>8 - PARTICULARIDADES</t>
    </r>
    <r>
      <rPr>
        <sz val="10"/>
        <rFont val="Arial"/>
        <family val="2"/>
      </rPr>
      <t xml:space="preserve"> (marcar com "X")</t>
    </r>
  </si>
  <si>
    <t>9 - MEMÓRIA DE CÁLCULO</t>
  </si>
  <si>
    <t>Área de Serviço</t>
  </si>
  <si>
    <t>No.</t>
  </si>
  <si>
    <t>FATOR</t>
  </si>
  <si>
    <t>IF:</t>
  </si>
  <si>
    <t>LOCALIZAÇÃO</t>
  </si>
  <si>
    <t>VALOR</t>
  </si>
  <si>
    <t>VL. UNIT.</t>
  </si>
  <si>
    <t>FONTE</t>
  </si>
  <si>
    <t>CONSIDERAÇÕES</t>
  </si>
  <si>
    <t>MÉDIA</t>
  </si>
  <si>
    <t>Reduzido</t>
  </si>
  <si>
    <t>Normal</t>
  </si>
  <si>
    <t>Intenso</t>
  </si>
  <si>
    <t>Pesado</t>
  </si>
  <si>
    <t>Residencial</t>
  </si>
  <si>
    <t>Comercial</t>
  </si>
  <si>
    <t>Industrial</t>
  </si>
  <si>
    <t>Misto</t>
  </si>
  <si>
    <t>A</t>
  </si>
  <si>
    <t>B</t>
  </si>
  <si>
    <t>C</t>
  </si>
  <si>
    <t>Sacada</t>
  </si>
  <si>
    <t>Apartamento</t>
  </si>
  <si>
    <t>idade</t>
  </si>
  <si>
    <t>As áreas cujos padrão sejam diferentes dos demais deverão ser utilizadas equiv. para o cálculo</t>
  </si>
  <si>
    <t>Area p. calculo</t>
  </si>
  <si>
    <t>ANEXO FOTOS</t>
  </si>
  <si>
    <t>ANEXO FOTOS-2</t>
  </si>
  <si>
    <t>a</t>
  </si>
  <si>
    <t>b</t>
  </si>
  <si>
    <t>c</t>
  </si>
  <si>
    <t>d</t>
  </si>
  <si>
    <t>e</t>
  </si>
  <si>
    <t>f</t>
  </si>
  <si>
    <t>g</t>
  </si>
  <si>
    <t>h</t>
  </si>
  <si>
    <t>A empresa deverá justificar abaixo caso utilize outros fatores na homogeneização do imóvel.</t>
  </si>
  <si>
    <t>ANEXO AMOSTRAS</t>
  </si>
  <si>
    <t>Fachada</t>
  </si>
  <si>
    <t>TABELA ROSS-HEIDECKE</t>
  </si>
  <si>
    <t>Coeficiente K</t>
  </si>
  <si>
    <t>idade em % da vida ref</t>
  </si>
  <si>
    <t>Formula:</t>
  </si>
  <si>
    <t>Foc= R + K*(1-R)</t>
  </si>
  <si>
    <t>onde:</t>
  </si>
  <si>
    <t>R=coeficiente residual correspondente ao padrão</t>
  </si>
  <si>
    <t>K=coeficiente Ross-Heidecke da tabela ao lado</t>
  </si>
  <si>
    <t>denominação:</t>
  </si>
  <si>
    <t>novo</t>
  </si>
  <si>
    <t>entre novo e regular</t>
  </si>
  <si>
    <t>regular</t>
  </si>
  <si>
    <t>entre regular a reparos simples</t>
  </si>
  <si>
    <t>reparos simples</t>
  </si>
  <si>
    <t>reparos simples a importantes</t>
  </si>
  <si>
    <t>reparos importantes</t>
  </si>
  <si>
    <t>reparos importantes a sem valor</t>
  </si>
  <si>
    <t>i</t>
  </si>
  <si>
    <t>sem valor</t>
  </si>
  <si>
    <t>tabela de Vida Útil e Vida Remanescente - sugestões</t>
  </si>
  <si>
    <t>tipologia</t>
  </si>
  <si>
    <t>padrão</t>
  </si>
  <si>
    <t>Vida ref(Lr)anos</t>
  </si>
  <si>
    <t>Valor Residual (R) (%)</t>
  </si>
  <si>
    <t>Barraco</t>
  </si>
  <si>
    <t>rústico</t>
  </si>
  <si>
    <t>simples</t>
  </si>
  <si>
    <t>Casa</t>
  </si>
  <si>
    <t>proletário</t>
  </si>
  <si>
    <t>econômico</t>
  </si>
  <si>
    <t>médio</t>
  </si>
  <si>
    <t>superior</t>
  </si>
  <si>
    <t>fino</t>
  </si>
  <si>
    <t>luxo</t>
  </si>
  <si>
    <t>Apto</t>
  </si>
  <si>
    <t>Galpões</t>
  </si>
  <si>
    <t>Coberturas</t>
  </si>
  <si>
    <t>Solicitante:</t>
  </si>
  <si>
    <t>DOCUMENTAÇÃO</t>
  </si>
  <si>
    <t>idade em % da vida ref = idade do imóvel /  Vida Ref ( tabela abaixo)</t>
  </si>
  <si>
    <t>exemplo:</t>
  </si>
  <si>
    <t>anos</t>
  </si>
  <si>
    <t>Vida util</t>
  </si>
  <si>
    <t>idade % da vida ref</t>
  </si>
  <si>
    <t>imóvel (apto fino)/ reparos importantes:</t>
  </si>
  <si>
    <t>na tabela para determinar o valor do K: cruzando a linha com o valor 54% com a letra g = 0,277</t>
  </si>
  <si>
    <t>R=20%</t>
  </si>
  <si>
    <t>Foc = 0,20+0,277*(1-0,20)</t>
  </si>
  <si>
    <t>Foc = 0,4216</t>
  </si>
  <si>
    <t>Portanto o fator de obsoletismo e estado de conservação é fator que irá nortear na homogeneização</t>
  </si>
  <si>
    <t>=HOMOGENEIZAÇÃO!D12</t>
  </si>
  <si>
    <t>LAUDO DE AVALIAÇÃO</t>
  </si>
  <si>
    <t>6 - VALOR DE COMPRA E VENDA</t>
  </si>
  <si>
    <r>
      <rPr>
        <b/>
        <sz val="8"/>
        <rFont val="Arial"/>
        <family val="2"/>
      </rPr>
      <t>LAUDO DE AVALIAÇÃO DE USO RESTRITO:</t>
    </r>
    <r>
      <rPr>
        <sz val="8"/>
        <rFont val="Arial"/>
        <family val="2"/>
      </rPr>
      <t xml:space="preserve"> este documento fornece informações pré-estabelecidas entre o Banco Santander e o responsável pela elaboração deste laudo e não tem validade para outros usos ou terceiros.
“ A avaliação tem por finalidade atribuir o valor de mercado do imóvel para fins de estabelecer o valor do financiamento máximo e/ou enquadramento da operação nas regras e limites operacionais. Cabe ao proponente verificar a exata localização, metragem, divisas e eventuais defeitos do imóvel”. </t>
    </r>
  </si>
  <si>
    <t>O imóvel não está localizado em área classificada como de Risco pela Defesa Civil?</t>
  </si>
  <si>
    <t>O imóvel não possui suspeitas de contaminação?</t>
  </si>
  <si>
    <t>Itens Relevantes nos Laudos de avaliação</t>
  </si>
  <si>
    <t>Contem</t>
  </si>
  <si>
    <t>Endereço do Imóvel</t>
  </si>
  <si>
    <t>Consideração</t>
  </si>
  <si>
    <t>SIM</t>
  </si>
  <si>
    <t>Complementos</t>
  </si>
  <si>
    <t xml:space="preserve">Bairro </t>
  </si>
  <si>
    <t xml:space="preserve">Cidade </t>
  </si>
  <si>
    <t>Caracteríticas da Região</t>
  </si>
  <si>
    <t>Usos Predominantes (Comercial, Industrial, Residencial Multifamiliar, Residencial Unifamiliar)</t>
  </si>
  <si>
    <t>Distribuir em vários quadros</t>
  </si>
  <si>
    <t>Infra-Estrututura Urbana (Água, Esgoto sanitário, Energia elétrica, Telefone, Pavimentação, Esgoto pluvial, Gás canalizado, Iluminação pública)</t>
  </si>
  <si>
    <t>Alinhar quais serão importantes</t>
  </si>
  <si>
    <t>Serviços públicos e comunitários (Coleta de lixo, Transporte coletivo, Comérico, Rede Bancária, Escola, Saúde, Segurança, Lazer)</t>
  </si>
  <si>
    <t>Forma</t>
  </si>
  <si>
    <t>Cota/Greide</t>
  </si>
  <si>
    <t>Inclinação/Topografia</t>
  </si>
  <si>
    <t>Apenas topografia</t>
  </si>
  <si>
    <t>Situação</t>
  </si>
  <si>
    <t>Meio de quadra, esquina, etc?</t>
  </si>
  <si>
    <t>Superfície</t>
  </si>
  <si>
    <t>Seca, úmida, alagada?</t>
  </si>
  <si>
    <t>Área</t>
  </si>
  <si>
    <t>Frente/Testada</t>
  </si>
  <si>
    <t>Fundos</t>
  </si>
  <si>
    <t>Retirada da matrícula ou demais documentos quando disponível</t>
  </si>
  <si>
    <t>Lado Esquerdo</t>
  </si>
  <si>
    <t>Lado Direito</t>
  </si>
  <si>
    <t>Fração Ideal</t>
  </si>
  <si>
    <t>Características da Unidade</t>
  </si>
  <si>
    <t>Tipo (casa, apartamento, sala, etc)</t>
  </si>
  <si>
    <t>Uso (comercial, industrial, residencial)</t>
  </si>
  <si>
    <t>N° Pavimentos</t>
  </si>
  <si>
    <t>N° de Quartos</t>
  </si>
  <si>
    <t>N° de Banheiros</t>
  </si>
  <si>
    <t>Posição</t>
  </si>
  <si>
    <t>Seria andar no caso de edifício ou condomínio?</t>
  </si>
  <si>
    <t>Padrão de acabamento</t>
  </si>
  <si>
    <t>Estado de Conservação</t>
  </si>
  <si>
    <t>Fechamento das paredes</t>
  </si>
  <si>
    <t>N° de vagas no estacionamento</t>
  </si>
  <si>
    <t>cobertas</t>
  </si>
  <si>
    <t>descobertas</t>
  </si>
  <si>
    <t>Áreas averbadas</t>
  </si>
  <si>
    <t>Nosso laudo faz divisão entre corpo principal e apoio</t>
  </si>
  <si>
    <t>Privativa (Unidade, Estacionamento, Outros, Total)</t>
  </si>
  <si>
    <t>De Uso Comum (Unidade, Estacionamento, Outros, Total)</t>
  </si>
  <si>
    <t>Total (Unidade, Estacionamento, Outros, Total)</t>
  </si>
  <si>
    <t>Áreas não averbadas</t>
  </si>
  <si>
    <t>Reforma (sem reforma, antiga ou parcial, reforma recente)</t>
  </si>
  <si>
    <t>Características do Prédio em que se encontra a unidade (se aplicável)</t>
  </si>
  <si>
    <t>Usos (somente residencial)</t>
  </si>
  <si>
    <t>N° de pavimentos</t>
  </si>
  <si>
    <t>N° de unidades</t>
  </si>
  <si>
    <t>Unidades por andar, não total</t>
  </si>
  <si>
    <t>N° de elevadores</t>
  </si>
  <si>
    <t>Posição (frente do terreno, meio do terreno, isolada)</t>
  </si>
  <si>
    <t>Já estaria respondido nas referências do terreno</t>
  </si>
  <si>
    <t>Temos apenas da unidade, não do prédio</t>
  </si>
  <si>
    <t>Infraestrutura/Serviços/Equipamentos (Piscina, Play-ground, Salão de festa, Quadra, Churrasqueira, Gás encanado, Gerador, Portão Eletrônico, Poço Artesiano)</t>
  </si>
  <si>
    <t>Tipo de Negócio (Oferta, Transação)</t>
  </si>
  <si>
    <t>Somente faz sentido quando temos amostras para homogeneizar</t>
  </si>
  <si>
    <t xml:space="preserve">Valor de Avaliação </t>
  </si>
  <si>
    <t>Dividida entre terreno, construção, garagem, averbada e não averbada.</t>
  </si>
  <si>
    <t>Metodologia de Avaliação</t>
  </si>
  <si>
    <t>Em anexo específico (Planilha de determinação de valor)</t>
  </si>
  <si>
    <t>Sugestão para Inclusão e dados que temos em nosso laudo que não estão considerados no "índice"</t>
  </si>
  <si>
    <t>1) Data de elaboração do laudo</t>
  </si>
  <si>
    <t>2) Área total edificada (PARCIAL: quando imóvel não possuir área de ampliação não regularizada, o laudo considera que a área averbada será a total)</t>
  </si>
  <si>
    <t>3) Nome do empreendimento</t>
  </si>
  <si>
    <t>4) Especificação da avaliação quanto ao Grau de Precisão e Grau de Fundamentação (amostras), conforme norma 14.653-2.</t>
  </si>
  <si>
    <t>5) Trafego trecho (intenso, regular, reduzido)</t>
  </si>
  <si>
    <t>6) Estrutura Construtiva (concreto armado, alvenaria estrututal, metálica, steelframe, etc)</t>
  </si>
  <si>
    <t>7) Acabamentos gerais da unidade (pisos, paredes, tetos)</t>
  </si>
  <si>
    <t>8) Descrição dos cômodos do corpo principal e construção de apoio (acabamentos e quantidades)</t>
  </si>
  <si>
    <t>9) Fatores depresciação (risco de inundação, córregos, presídio, favelas, rede de alta tensão, etc)</t>
  </si>
  <si>
    <t>10) Tipo de pavimentação logradouro</t>
  </si>
  <si>
    <t>11) Documentação apresentada para realização da vistoria (matrícula, planta, medição in loco, documentos prefeitura)</t>
  </si>
  <si>
    <t>Banco Santander</t>
  </si>
  <si>
    <t>Sítio</t>
  </si>
  <si>
    <t>Galpão</t>
  </si>
  <si>
    <t>Misto: Res-Comercial</t>
  </si>
  <si>
    <t>Sala comercial</t>
  </si>
  <si>
    <t>irregular</t>
  </si>
  <si>
    <t>declive</t>
  </si>
  <si>
    <t>aclive</t>
  </si>
  <si>
    <t>Autônoma</t>
  </si>
  <si>
    <t>FECHAMENTO</t>
  </si>
  <si>
    <t>alvenaria</t>
  </si>
  <si>
    <t>ESTRUTURA</t>
  </si>
  <si>
    <t>concreto</t>
  </si>
  <si>
    <t>onde informar quando for suíte</t>
  </si>
  <si>
    <t>e o bh da suíte?</t>
  </si>
  <si>
    <t>Nosso laudo faz divisão quando existe vagas autônomas</t>
  </si>
  <si>
    <t>Descrição</t>
  </si>
  <si>
    <t>Residêncial</t>
  </si>
  <si>
    <t>baixo</t>
  </si>
  <si>
    <t>normal</t>
  </si>
  <si>
    <t>intenso</t>
  </si>
  <si>
    <t>pesado</t>
  </si>
  <si>
    <t>pintura</t>
  </si>
  <si>
    <t>infra estrutura equipamentos</t>
  </si>
  <si>
    <t>Depósito individual</t>
  </si>
  <si>
    <t>infra urbana</t>
  </si>
  <si>
    <t>distancias</t>
  </si>
  <si>
    <t>até 500m</t>
  </si>
  <si>
    <t>de 500 a 1000m</t>
  </si>
  <si>
    <t>acima de 1000m</t>
  </si>
  <si>
    <t>não se aplica</t>
  </si>
  <si>
    <t>Parque  Clube</t>
  </si>
  <si>
    <t>chave</t>
  </si>
  <si>
    <t>Área Construída Averbada</t>
  </si>
  <si>
    <t>Área Const. Não Averbada</t>
  </si>
  <si>
    <t>Construção - Unidade Isolada</t>
  </si>
  <si>
    <t>Construção</t>
  </si>
  <si>
    <t>D A D O S    C O M P A R A T I V O S</t>
  </si>
  <si>
    <t>PLANILHA DE CÁLCULO DE VALORES</t>
  </si>
  <si>
    <t>LOCAL :-</t>
  </si>
  <si>
    <t>FRENTE:</t>
  </si>
  <si>
    <t>Tipo de Imóvel:</t>
  </si>
  <si>
    <t>BAIRRO :-</t>
  </si>
  <si>
    <t>PROF.MIN.</t>
  </si>
  <si>
    <t>Padrão:</t>
  </si>
  <si>
    <t>CIDADE :-</t>
  </si>
  <si>
    <t>PROF.MAX.</t>
  </si>
  <si>
    <t>Zona:</t>
  </si>
  <si>
    <t>D A D O S  D O S  I M Ó V E I S  P E S Q U I S A D O S</t>
  </si>
  <si>
    <t xml:space="preserve">                              'F A T O R E S  D E  C O R R E Ç Ã O</t>
  </si>
  <si>
    <t>tipo</t>
  </si>
  <si>
    <t>TERRENO</t>
  </si>
  <si>
    <t>CONSTR.</t>
  </si>
  <si>
    <t>FTE.</t>
  </si>
  <si>
    <t>PROF.</t>
  </si>
  <si>
    <t>F.TRANS-</t>
  </si>
  <si>
    <t>Fator</t>
  </si>
  <si>
    <t>RESIDUO</t>
  </si>
  <si>
    <t>C-Fe</t>
  </si>
  <si>
    <t>C-Pe</t>
  </si>
  <si>
    <t>.</t>
  </si>
  <si>
    <t>ÁREA (M2)</t>
  </si>
  <si>
    <t>(M)</t>
  </si>
  <si>
    <t>POSIÇÃO</t>
  </si>
  <si>
    <t>TOPOGRAF</t>
  </si>
  <si>
    <t>Foc-benf</t>
  </si>
  <si>
    <t>ESQ.</t>
  </si>
  <si>
    <t>Nome</t>
  </si>
  <si>
    <t>Rua e número</t>
  </si>
  <si>
    <t>Fone</t>
  </si>
  <si>
    <t>R. Dr. Cassio Resende, 37</t>
  </si>
  <si>
    <t>2 quartos, sala, cozinha, lavabo, banheiro social</t>
  </si>
  <si>
    <t>1 vaga de garagem descoberta</t>
  </si>
  <si>
    <t>Rua Ingazeiro, 142</t>
  </si>
  <si>
    <t>Sobrado: Pav. inf. Copa, cozinha, banheiro, sala</t>
  </si>
  <si>
    <t>TV. Pav. Sup.1 suíte, 2 quartos, 1 banheiro social</t>
  </si>
  <si>
    <t>R. José Martins, s/n</t>
  </si>
  <si>
    <t>3 quartos, sala, cozinha, banheiro, área de serviço</t>
  </si>
  <si>
    <t>Rua Lauro Abranches Moreira, 155</t>
  </si>
  <si>
    <t xml:space="preserve"> </t>
  </si>
  <si>
    <t xml:space="preserve">2 quartos, copa, cozinha, sala, wc, garagem </t>
  </si>
  <si>
    <t>1 edicula nos fundos.</t>
  </si>
  <si>
    <t xml:space="preserve">Obs.: </t>
  </si>
  <si>
    <t>RESIDUO = Terreno = transformação - (p/m2 constr. x área constr. x (idade imóvel / 80)-1)</t>
  </si>
  <si>
    <t>DESV.PADRÃO</t>
  </si>
  <si>
    <t>LIMITE SUPERIOR</t>
  </si>
  <si>
    <t>LIMITE INFERIOR</t>
  </si>
  <si>
    <t>MÉDIA PONDERADA</t>
  </si>
  <si>
    <t>área terreno</t>
  </si>
  <si>
    <t>área constr.</t>
  </si>
  <si>
    <t>frente</t>
  </si>
  <si>
    <t>prof.</t>
  </si>
  <si>
    <t>p/m2 terreno</t>
  </si>
  <si>
    <t>p/m2 constr</t>
  </si>
  <si>
    <t>fator idade</t>
  </si>
  <si>
    <t>esquina</t>
  </si>
  <si>
    <t>C-fe</t>
  </si>
  <si>
    <t>VALORES</t>
  </si>
  <si>
    <t>terreno</t>
  </si>
  <si>
    <t>construção</t>
  </si>
  <si>
    <t>TOTAL</t>
  </si>
  <si>
    <t>vida útil</t>
  </si>
  <si>
    <t>(anos)</t>
  </si>
  <si>
    <t>R:</t>
  </si>
  <si>
    <t>idade apar.</t>
  </si>
  <si>
    <t>amost(anos)</t>
  </si>
  <si>
    <t>Custo Const</t>
  </si>
  <si>
    <t>Estado</t>
  </si>
  <si>
    <t>Conserv</t>
  </si>
  <si>
    <t>CUB-R$/m²</t>
  </si>
  <si>
    <t>Coef. Ajust.</t>
  </si>
  <si>
    <t>BDI</t>
  </si>
  <si>
    <t>localiz</t>
  </si>
  <si>
    <t>Modelo Custo</t>
  </si>
  <si>
    <t>USO LIVRE</t>
  </si>
  <si>
    <t>K</t>
  </si>
  <si>
    <t>NOME SUGERIDO DO CAMPO NO ARQUIVO XLS</t>
  </si>
  <si>
    <t>TYPE</t>
  </si>
  <si>
    <t>DESCIÇÃO DO CAMPO</t>
  </si>
  <si>
    <t>CONTEÚDO VÁLIDO</t>
  </si>
  <si>
    <t>Data do laudo:</t>
  </si>
  <si>
    <t>DT_LAUDO</t>
  </si>
  <si>
    <t>DATE</t>
  </si>
  <si>
    <t>Data do laudo</t>
  </si>
  <si>
    <t>Nº do Laudo:</t>
  </si>
  <si>
    <t>NO_LAUDO</t>
  </si>
  <si>
    <t>NUMBER(12,0)</t>
  </si>
  <si>
    <t>Número do laudo</t>
  </si>
  <si>
    <t>Nº do Banco:</t>
  </si>
  <si>
    <t>NO_BANCO</t>
  </si>
  <si>
    <t>Número do Banco</t>
  </si>
  <si>
    <t>Explicação</t>
  </si>
  <si>
    <t>ENDERECO</t>
  </si>
  <si>
    <t>CHAR(250)</t>
  </si>
  <si>
    <t>COMPLEMENTO</t>
  </si>
  <si>
    <t>CHAR(100)</t>
  </si>
  <si>
    <t>BAIRRO</t>
  </si>
  <si>
    <t>CIDADE</t>
  </si>
  <si>
    <t>CHAR(02)</t>
  </si>
  <si>
    <t>CHAR(09)</t>
  </si>
  <si>
    <t xml:space="preserve">Usos Predominantes </t>
  </si>
  <si>
    <t>comercial, industrial, residencial multifamiliar, residencial unifamiliar</t>
  </si>
  <si>
    <t>USO_PRED_REGIAO</t>
  </si>
  <si>
    <t>Usos Predominantes</t>
  </si>
  <si>
    <t>COMERCIAL, INDUSTRIAL, RESIDENCIAL MULTIFAMILIAR, RESIDENCIAL UNIFAMILIAR</t>
  </si>
  <si>
    <t xml:space="preserve">Infra-Estrututura Urbana </t>
  </si>
  <si>
    <t>água, esgoto sanitário, energia elétrica, telefone, pavimentação, esgoto pluvial, gás canalizado, Iluminação pública, foço, poço</t>
  </si>
  <si>
    <t>INFRA_URB_AGUA</t>
  </si>
  <si>
    <t>BOOLEAN</t>
  </si>
  <si>
    <t>Infra-estrutura urbana - Água</t>
  </si>
  <si>
    <t>TRUE, FALSE</t>
  </si>
  <si>
    <t>INFRA_URB_ESGOTO_SANIT</t>
  </si>
  <si>
    <t>Infra-estrutura urbana - Esgoto Sanitário</t>
  </si>
  <si>
    <t>INFRA_URB_ENERGIA</t>
  </si>
  <si>
    <t>Infra-estrutura urbana - Energia Elétrica</t>
  </si>
  <si>
    <t>INFRA_URB_TELEFONE</t>
  </si>
  <si>
    <t>Infra-estrutura urbana - Telefone</t>
  </si>
  <si>
    <t>INFRA_URB_PAVIMENTACAO</t>
  </si>
  <si>
    <t>Infra-estrutura urbana - Pavimentação</t>
  </si>
  <si>
    <t>INFRA_URB_ESGOTO_PLUV</t>
  </si>
  <si>
    <t>Infra-estrutura urbana - Esgoto Pluvial</t>
  </si>
  <si>
    <t>INFRA_URB_GAS</t>
  </si>
  <si>
    <t>Infra-estrutura urbana - Gás canalizado</t>
  </si>
  <si>
    <t>INFRA_URB_ILUM_PUBLIC</t>
  </si>
  <si>
    <t>Infra-estrutura urbana - Iluminação pública</t>
  </si>
  <si>
    <t xml:space="preserve">Serviços públicos e comunitários </t>
  </si>
  <si>
    <t>Coleta de lixo, Transporte coletivo, Comérico, Rede Bancária, Escola, Saúde, Segurança, Lazer</t>
  </si>
  <si>
    <t>SERVICO_COLETA_LIXO</t>
  </si>
  <si>
    <t>Serviços públicos e comunitários - Coleta de lixo</t>
  </si>
  <si>
    <t>SERVICO_TRANSP_COL</t>
  </si>
  <si>
    <t>Serviços públicos e comunitários - Transporte coletivo</t>
  </si>
  <si>
    <t>SERVICO_COMERCIO</t>
  </si>
  <si>
    <t>Serviços públicos e comunitários - Comercio</t>
  </si>
  <si>
    <t>SERVICO_REDE_BANC</t>
  </si>
  <si>
    <t>Serviços públicos e comunitários - Rede Bancária</t>
  </si>
  <si>
    <t>SERVICO_ESCOLA</t>
  </si>
  <si>
    <t>Serviços públicos e comunitários - Escolas</t>
  </si>
  <si>
    <t>SERVICO_SAUDE</t>
  </si>
  <si>
    <t>Serviços públicos e comunitários - Saúde</t>
  </si>
  <si>
    <t>SERVICO_SEGURANCA</t>
  </si>
  <si>
    <t>Serviços públicos e comunitários - Segurança</t>
  </si>
  <si>
    <t>SERVICO_LAZER</t>
  </si>
  <si>
    <t>Serviços públicos e comunitários - Lazer</t>
  </si>
  <si>
    <t>Fatores de Valorizantes</t>
  </si>
  <si>
    <t>vista para o mar, vista para parques, vista permanente</t>
  </si>
  <si>
    <t>onde vai isso na guia ao lado?</t>
  </si>
  <si>
    <t>Fatores de Depresciação</t>
  </si>
  <si>
    <t>córregos, presídio, favelas, rede de alta tensão, feira-livre</t>
  </si>
  <si>
    <t>Terreno - Casa</t>
  </si>
  <si>
    <t>regular, irregular</t>
  </si>
  <si>
    <t>FORMA</t>
  </si>
  <si>
    <t>aclive, declive, plano</t>
  </si>
  <si>
    <t>TOPOGRAFIA</t>
  </si>
  <si>
    <t>m2</t>
  </si>
  <si>
    <t>AREA</t>
  </si>
  <si>
    <t>NUMBER(6,2)</t>
  </si>
  <si>
    <t>Frente</t>
  </si>
  <si>
    <t>metros</t>
  </si>
  <si>
    <t>FRENTE</t>
  </si>
  <si>
    <t xml:space="preserve">Tipo </t>
  </si>
  <si>
    <t>casa, apartamento, sala</t>
  </si>
  <si>
    <t>TIPO_IMOVEL</t>
  </si>
  <si>
    <t>CHAR(50)</t>
  </si>
  <si>
    <t>Tipo do imóvel</t>
  </si>
  <si>
    <t>CASA, SOBRADO, APARTAMENTO, SALA, OUTROS</t>
  </si>
  <si>
    <t>Uso</t>
  </si>
  <si>
    <t>comercial, industrial, residencial</t>
  </si>
  <si>
    <t>USO_IMOVEL</t>
  </si>
  <si>
    <t>CHAR(20)</t>
  </si>
  <si>
    <t>Uso predominante do imóvel</t>
  </si>
  <si>
    <t>COMERCIAL, INDUSTRIAL, RESIDENCIAL</t>
  </si>
  <si>
    <t>quantidade</t>
  </si>
  <si>
    <t>NUM_PAVIMENTOS</t>
  </si>
  <si>
    <t>INTEGER</t>
  </si>
  <si>
    <t>quantidade - máximo 04 dormitórios</t>
  </si>
  <si>
    <t>NUM_QUARTOS</t>
  </si>
  <si>
    <t>Nº de Suites</t>
  </si>
  <si>
    <t>NUM_SUITES</t>
  </si>
  <si>
    <t>quantidade - máximo 06 banheiros</t>
  </si>
  <si>
    <t>NUM_BANHEIROS</t>
  </si>
  <si>
    <t>só casa?</t>
  </si>
  <si>
    <t>Idade Aparente -( somente para casa)</t>
  </si>
  <si>
    <t>somente casa</t>
  </si>
  <si>
    <t>IDADE_IMOVEL</t>
  </si>
  <si>
    <t>Posição (somente para apartamento)</t>
  </si>
  <si>
    <t>andar</t>
  </si>
  <si>
    <t>POSICAO</t>
  </si>
  <si>
    <t>baixo, médio, alto</t>
  </si>
  <si>
    <t>PADRAO_ACABAMENTO</t>
  </si>
  <si>
    <t>[IDENTIFICAR QUAL SERÁ O CONTEÚDO VÁLIDO PARA CRÍTICA DO ROBÔ]</t>
  </si>
  <si>
    <t>ruim, regular, bom</t>
  </si>
  <si>
    <t>ESTADO_CONSERVACAO</t>
  </si>
  <si>
    <t>alvenaria, drywall, madeira</t>
  </si>
  <si>
    <t>FECHAMENTO_PAREDES</t>
  </si>
  <si>
    <t>ALVENARIA, DRYWALL, MADEIRA</t>
  </si>
  <si>
    <t>NUM_VAGA_COBERTA</t>
  </si>
  <si>
    <t>NUM_VAGA_DESCOBERTA</t>
  </si>
  <si>
    <t>AREA_AVERBADA</t>
  </si>
  <si>
    <t>NUMBER(10,2)</t>
  </si>
  <si>
    <t>Área averbada - M2</t>
  </si>
  <si>
    <t>Privativa</t>
  </si>
  <si>
    <t>AREA_PRIVATIVA</t>
  </si>
  <si>
    <t>Área privativa - M2</t>
  </si>
  <si>
    <t xml:space="preserve">De Uso Comum </t>
  </si>
  <si>
    <t>AREA_COMUM</t>
  </si>
  <si>
    <t>Área comum - M2</t>
  </si>
  <si>
    <t xml:space="preserve">Total </t>
  </si>
  <si>
    <t>AREA_TOTAL</t>
  </si>
  <si>
    <t>Área total - M2</t>
  </si>
  <si>
    <t>AREA_NAO_AVERBADA</t>
  </si>
  <si>
    <t>Área total não averbada - M2</t>
  </si>
  <si>
    <t>Características do Prédio em que se encontra a unidade 
(se aplicável)</t>
  </si>
  <si>
    <t xml:space="preserve">Usos </t>
  </si>
  <si>
    <t>residencial, misto, comercial</t>
  </si>
  <si>
    <t>USO_PREDIO</t>
  </si>
  <si>
    <t>Uso do prédio em que se encontra a unidade</t>
  </si>
  <si>
    <t>RESIDENCIAL, MISTO, COMERCIAL</t>
  </si>
  <si>
    <t>NUM_PAVIM_PREDIO</t>
  </si>
  <si>
    <t>Número de pavimentos do prédio</t>
  </si>
  <si>
    <t>N° de unidades por andar</t>
  </si>
  <si>
    <t>NUM_UNIDADES_ANDAR</t>
  </si>
  <si>
    <t>Número de unidades por andar</t>
  </si>
  <si>
    <t>NUM_ELEVADORES</t>
  </si>
  <si>
    <t>ESTADO_CONS_PREDIO</t>
  </si>
  <si>
    <t>Estado de conservação do prédio</t>
  </si>
  <si>
    <t>RUIM, REGULAR, BOM</t>
  </si>
  <si>
    <t xml:space="preserve">Infraestrutura/Serviços/Equipamentos </t>
  </si>
  <si>
    <t>piscina, play-ground, salão de festa, quadra, churrasqueira, gerador</t>
  </si>
  <si>
    <t>INFRA_PRED_PISCINA</t>
  </si>
  <si>
    <t>Infra do prédio - Piscina</t>
  </si>
  <si>
    <t>INFRA_PRED_PLAYGROUND</t>
  </si>
  <si>
    <t>Infra do prédio - Play-ground</t>
  </si>
  <si>
    <t>INFRA_PRED_SALAO_FESTA</t>
  </si>
  <si>
    <t>Infra do prédio - Salão de festas</t>
  </si>
  <si>
    <t>INFRA_PRED_QUADRA</t>
  </si>
  <si>
    <t>Infra do prédio - Quadra</t>
  </si>
  <si>
    <t>INFRA_PRED_CHURRASQUEIRA</t>
  </si>
  <si>
    <t>Infra do prédio - Churrasqueira</t>
  </si>
  <si>
    <t>INFRA_PRED_GERADOR</t>
  </si>
  <si>
    <t>Infra do prédio - Gerador</t>
  </si>
  <si>
    <t>Valor de Avaliação Total</t>
  </si>
  <si>
    <t>valor</t>
  </si>
  <si>
    <t>VALOR_AVALIACAO</t>
  </si>
  <si>
    <t>NUMBER(15,2)</t>
  </si>
  <si>
    <t>Valor da avaliação do imóvel</t>
  </si>
  <si>
    <t>Indra ou Montreal</t>
  </si>
  <si>
    <t>Empresa:</t>
  </si>
  <si>
    <t>ocupação predominante</t>
  </si>
  <si>
    <t>Coleta de Lixo</t>
  </si>
  <si>
    <t>Transporte Coletivo</t>
  </si>
  <si>
    <t>Rede Bancária</t>
  </si>
  <si>
    <t>Rede de Saúde</t>
  </si>
  <si>
    <t>Rede de Segurança</t>
  </si>
  <si>
    <t>Lazer</t>
  </si>
  <si>
    <t>Serviços Públicos e Comunitários: Preencher com "x" caso exista na proximidade do avaliando</t>
  </si>
  <si>
    <t>plano</t>
  </si>
  <si>
    <t>Uso da unidade avalianda:</t>
  </si>
  <si>
    <t>residencial</t>
  </si>
  <si>
    <t>Posição (andar):</t>
  </si>
  <si>
    <t>Nº pvtos unid auton:</t>
  </si>
  <si>
    <t>comercial</t>
  </si>
  <si>
    <t>industrial</t>
  </si>
  <si>
    <t>bom</t>
  </si>
  <si>
    <t>ruim</t>
  </si>
  <si>
    <t>Garagem Coberta</t>
  </si>
  <si>
    <t>Garagem Descobert</t>
  </si>
  <si>
    <t>Nº DE ELEVADORES</t>
  </si>
  <si>
    <t>Uso do Prédio</t>
  </si>
  <si>
    <t>Conserv Áreas Comuns</t>
  </si>
  <si>
    <t>Numero de unids por andar</t>
  </si>
  <si>
    <t>Características da Edificação ou Condomínio (preencher o que se enquadre)</t>
  </si>
  <si>
    <t>Salão de festas</t>
  </si>
  <si>
    <t>rede alta tensão</t>
  </si>
  <si>
    <t>feira livre</t>
  </si>
  <si>
    <t>Fatores de depreciação/valoriz</t>
  </si>
  <si>
    <t>vista permanente</t>
  </si>
  <si>
    <t>parque</t>
  </si>
  <si>
    <t>1 - Chave identificação do laudo: INDRA ou MONTREAL- nome empresa</t>
  </si>
  <si>
    <t>ATENÇÃO:</t>
  </si>
  <si>
    <t>Negrito:não alterar posição desta linha e nem legendas</t>
  </si>
  <si>
    <t>FATOR_VALORIZANTE</t>
  </si>
  <si>
    <t>FATOR_DEPRECIACAO</t>
  </si>
  <si>
    <t>NÃO ALTERAR AS CÉLULAS EM AZUL</t>
  </si>
  <si>
    <t>PLANILHA DE ELEMENTOS - CASAS</t>
  </si>
  <si>
    <t>Cliente:</t>
  </si>
  <si>
    <t>Delta</t>
  </si>
  <si>
    <t>Local:</t>
  </si>
  <si>
    <t>Rua Existente, s/n</t>
  </si>
  <si>
    <t xml:space="preserve">Data Base: </t>
  </si>
  <si>
    <t>Outubro/2011</t>
  </si>
  <si>
    <t>Item</t>
  </si>
  <si>
    <t>Área de Terreno (m²)</t>
  </si>
  <si>
    <t>Área Construída (m²)</t>
  </si>
  <si>
    <t xml:space="preserve">Valor Unitário (R$/m²) </t>
  </si>
  <si>
    <t>Idade</t>
  </si>
  <si>
    <t>Vida Útil</t>
  </si>
  <si>
    <t>% Vida Útil</t>
  </si>
  <si>
    <t>Erro</t>
  </si>
  <si>
    <t>KD</t>
  </si>
  <si>
    <t>Padrão IBAPE SP</t>
  </si>
  <si>
    <t>Localização</t>
  </si>
  <si>
    <t>Dormitórios</t>
  </si>
  <si>
    <t>Vagas</t>
  </si>
  <si>
    <t>Setor Urbano</t>
  </si>
  <si>
    <t>Observações</t>
  </si>
  <si>
    <t>Cód.</t>
  </si>
  <si>
    <t>Padrão</t>
  </si>
  <si>
    <t>Fator R8N</t>
  </si>
  <si>
    <t>Fontes Consultadas</t>
  </si>
  <si>
    <t>1.2.6</t>
  </si>
  <si>
    <t>secundária</t>
  </si>
  <si>
    <t>1.2.5</t>
  </si>
  <si>
    <t>AV</t>
  </si>
  <si>
    <t>Imóvel Avaliando</t>
  </si>
  <si>
    <t>ELEMENTO 01</t>
  </si>
  <si>
    <t>ELEMENTO 02</t>
  </si>
  <si>
    <t>ELEMENTO 03</t>
  </si>
  <si>
    <t>ELEMENTO 04</t>
  </si>
  <si>
    <t>ELEMENTO 05</t>
  </si>
  <si>
    <t>PLANILHA DE HOMOGENEIZAÇÃO DE VALORES - CASAS</t>
  </si>
  <si>
    <t>Quantidade Elementos</t>
  </si>
  <si>
    <t>Valor do Imóvel (R$)</t>
  </si>
  <si>
    <t>Valor Unitário (R$/m²)</t>
  </si>
  <si>
    <t>Fatores de Correção</t>
  </si>
  <si>
    <t>Fator Acumulado</t>
  </si>
  <si>
    <t>Valor Unitário Corrigido (R$/m²)</t>
  </si>
  <si>
    <t>Fator Área</t>
  </si>
  <si>
    <t>Especulação</t>
  </si>
  <si>
    <t>Idade e Conservação</t>
  </si>
  <si>
    <t>Vaga</t>
  </si>
  <si>
    <t>Outros</t>
  </si>
  <si>
    <t>Número de amostras utilizadas</t>
  </si>
  <si>
    <t>Preço Unitário Médio (R$/m²)</t>
  </si>
  <si>
    <t>Grau de Fundamentação (NBR 14653-2)</t>
  </si>
  <si>
    <t>I</t>
  </si>
  <si>
    <t>Desvio Padrão (D.P)</t>
  </si>
  <si>
    <t>Grau de Precisão (NBR 14653-2)</t>
  </si>
  <si>
    <t>III</t>
  </si>
  <si>
    <t>Coeficiente de Variação</t>
  </si>
  <si>
    <t>Valor máximo (R$/m²)</t>
  </si>
  <si>
    <t>Valor mínimo (R$/m²)</t>
  </si>
  <si>
    <t>Valor Mínimo</t>
  </si>
  <si>
    <t>Valor Médio</t>
  </si>
  <si>
    <t>Valor Superior</t>
  </si>
  <si>
    <t>Idade em %</t>
  </si>
  <si>
    <t>de duração</t>
  </si>
  <si>
    <t>1.1.1</t>
  </si>
  <si>
    <t>Barraco Rústico</t>
  </si>
  <si>
    <t>1.1.2</t>
  </si>
  <si>
    <t>Barraco Simples</t>
  </si>
  <si>
    <t>1.2.1</t>
  </si>
  <si>
    <t>Casa Rústico</t>
  </si>
  <si>
    <t>1.2.2</t>
  </si>
  <si>
    <t>Casa Proletário</t>
  </si>
  <si>
    <t>1.2.3</t>
  </si>
  <si>
    <t>Casa Econômico</t>
  </si>
  <si>
    <t>1.2.4</t>
  </si>
  <si>
    <t>Casa Simples</t>
  </si>
  <si>
    <t>Casa Médio</t>
  </si>
  <si>
    <t>Casa Superior</t>
  </si>
  <si>
    <t>1.2.7</t>
  </si>
  <si>
    <t>Casa Fino</t>
  </si>
  <si>
    <t>1.2.8</t>
  </si>
  <si>
    <t>Casa Luxo</t>
  </si>
  <si>
    <t>1.3.1</t>
  </si>
  <si>
    <t>Apartamento Econômico</t>
  </si>
  <si>
    <t>1.3.2.1</t>
  </si>
  <si>
    <t>Apartamento Simples s/ Elevador</t>
  </si>
  <si>
    <t>Condições</t>
  </si>
  <si>
    <t>1.3.2.2</t>
  </si>
  <si>
    <t>Apartamento Simples c/ Elevador</t>
  </si>
  <si>
    <t>Ótimo</t>
  </si>
  <si>
    <t>1.3.3.1</t>
  </si>
  <si>
    <t>Apartamento Médio s/ Elevador</t>
  </si>
  <si>
    <t>Muito Bom</t>
  </si>
  <si>
    <t>1.3.3.2</t>
  </si>
  <si>
    <t>Apartamento Médio c/ Elevador</t>
  </si>
  <si>
    <t>1.3.4.1</t>
  </si>
  <si>
    <t>Apartamento Superior s/ Elevador</t>
  </si>
  <si>
    <t>Intermédio</t>
  </si>
  <si>
    <t>1.3.4.2</t>
  </si>
  <si>
    <t>Apartamento Superior c/ Elevador</t>
  </si>
  <si>
    <t>1.3.5</t>
  </si>
  <si>
    <t>Apartamento Fino</t>
  </si>
  <si>
    <t>Deficiente</t>
  </si>
  <si>
    <t>1.3.6</t>
  </si>
  <si>
    <t>Apartamento Luxo</t>
  </si>
  <si>
    <t>Mau</t>
  </si>
  <si>
    <t>2.1.1</t>
  </si>
  <si>
    <t>Escritório Econômico</t>
  </si>
  <si>
    <t>Muito Mau</t>
  </si>
  <si>
    <t>2.1.2.1</t>
  </si>
  <si>
    <t>Escritório Simples s/ Elevador</t>
  </si>
  <si>
    <t>Demolição</t>
  </si>
  <si>
    <t>2.1.2.2</t>
  </si>
  <si>
    <t>Escritório Simples c/ Elevador</t>
  </si>
  <si>
    <t>2.1.3.1</t>
  </si>
  <si>
    <t>Escritório Médio s/ Elevador</t>
  </si>
  <si>
    <t>2.1.3.2</t>
  </si>
  <si>
    <t>Escritório Médio c/ Elevador</t>
  </si>
  <si>
    <t>2.1.4.1</t>
  </si>
  <si>
    <t>Escritório Superior s/ Elevador</t>
  </si>
  <si>
    <t>2.1.4.2</t>
  </si>
  <si>
    <t>Escritório Superior c/ Elevador</t>
  </si>
  <si>
    <t>2.1.5</t>
  </si>
  <si>
    <t>Escritório Fino</t>
  </si>
  <si>
    <t>2.1.6</t>
  </si>
  <si>
    <t>Escritório Luxo</t>
  </si>
  <si>
    <t>2.2.1</t>
  </si>
  <si>
    <t>Galpão Econômico</t>
  </si>
  <si>
    <t>2.2.2</t>
  </si>
  <si>
    <t>Galpão Simples</t>
  </si>
  <si>
    <t>2.2.3</t>
  </si>
  <si>
    <t>Galpão Médio</t>
  </si>
  <si>
    <t>2.2.4</t>
  </si>
  <si>
    <t>Galpão Superior</t>
  </si>
  <si>
    <t>3.1.1</t>
  </si>
  <si>
    <t>Cobertura Simples</t>
  </si>
  <si>
    <t>3.1.2</t>
  </si>
  <si>
    <t>Cobertura Médio</t>
  </si>
  <si>
    <t>3.1.3</t>
  </si>
  <si>
    <t>Cobertura Superior</t>
  </si>
  <si>
    <t>1.3.2.s</t>
  </si>
  <si>
    <t>1.3.2.c</t>
  </si>
  <si>
    <t>1.3.3.s</t>
  </si>
  <si>
    <t>1.3.3.c</t>
  </si>
  <si>
    <t>1.3.4.s</t>
  </si>
  <si>
    <t>1.3.4.c</t>
  </si>
  <si>
    <t>2.1.2.s</t>
  </si>
  <si>
    <t>2.1.2.c</t>
  </si>
  <si>
    <t>2.1.3.s</t>
  </si>
  <si>
    <t>2.1.3.c</t>
  </si>
  <si>
    <t>2.1.4.s</t>
  </si>
  <si>
    <t>2.1.4.c</t>
  </si>
  <si>
    <t>A seguir estamos apresentando algumas tabelas para auxilio na avaliação que são importante ferramenta p/ avaliação.</t>
  </si>
  <si>
    <t>TABELA DE ROSS-HEIDECKE - Depreciação Física - Fator "k"</t>
  </si>
  <si>
    <t>ÍNDICES
LAZER</t>
  </si>
  <si>
    <t>notas</t>
  </si>
  <si>
    <t>inexistente</t>
  </si>
  <si>
    <t>necessário</t>
  </si>
  <si>
    <t>básico</t>
  </si>
  <si>
    <t>completo</t>
  </si>
  <si>
    <t>clube</t>
  </si>
  <si>
    <t>Nenhum</t>
  </si>
  <si>
    <t>Sendo:</t>
  </si>
  <si>
    <t>até 3 itens de lazer</t>
  </si>
  <si>
    <t>4 a 9 itens de lazer</t>
  </si>
  <si>
    <t>10 a 20 itens lazer</t>
  </si>
  <si>
    <t>+ 20 itens lazer</t>
  </si>
  <si>
    <t>entre regular e reparos simples</t>
  </si>
  <si>
    <t>Sugestão UBB p/ lazer - concenso de avaliadores</t>
  </si>
  <si>
    <t>entre reparos simples e importantes</t>
  </si>
  <si>
    <t>reparos implortantes</t>
  </si>
  <si>
    <t>entre reparos importantes e sem valor</t>
  </si>
  <si>
    <t>POSICIONAMENTO
VERTICAL VERTICAL</t>
  </si>
  <si>
    <t>IDADE APARENTE
Aptos. / Escritórios</t>
  </si>
  <si>
    <t>ANDAR</t>
  </si>
  <si>
    <t>COEFICIENTE</t>
  </si>
  <si>
    <t>ANOS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</si>
  <si>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</si>
  <si>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</si>
  <si>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</si>
  <si>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</si>
  <si>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</si>
  <si>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</si>
  <si>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</si>
  <si>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</si>
  <si>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</si>
  <si>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</si>
  <si>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</si>
  <si>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</si>
  <si>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</si>
  <si>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</si>
  <si>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</si>
  <si>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</si>
  <si>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</si>
  <si>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</si>
  <si>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</si>
  <si>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</si>
  <si>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</si>
  <si>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FONTE - TABELA PERITOS</t>
  </si>
  <si>
    <t>21º</t>
  </si>
  <si>
    <t>22º</t>
  </si>
  <si>
    <t>23º</t>
  </si>
  <si>
    <t>24º</t>
  </si>
  <si>
    <t>VALORES DE EDIFICAÇÕES DE IMÓVEIS URBANOS</t>
  </si>
  <si>
    <t>IBAPE / SP</t>
  </si>
  <si>
    <t>TIPOLOGIA CONSTRUTIVA</t>
  </si>
  <si>
    <t>PADRÃO CONSTRUTIVO</t>
  </si>
  <si>
    <t>INTERVALO DE VALORES</t>
  </si>
  <si>
    <t>Mínimo</t>
  </si>
  <si>
    <t>entre</t>
  </si>
  <si>
    <t>Máximo</t>
  </si>
  <si>
    <t>GRUPO 1.3
APARTAMENTO</t>
  </si>
  <si>
    <t>1.3.1-Padrão Econômico</t>
  </si>
  <si>
    <t>1.3.2-Padrão Simples</t>
  </si>
  <si>
    <t>Sem elevador</t>
  </si>
  <si>
    <t>Com elevador</t>
  </si>
  <si>
    <t>1.3.3-Padrão Médio</t>
  </si>
  <si>
    <t>1.3.4-Padrão Superior</t>
  </si>
  <si>
    <t>1.3.5-Padrão Fino</t>
  </si>
  <si>
    <t>1.3.6-PadrãO Luxo</t>
  </si>
  <si>
    <t>Acima de 3,49</t>
  </si>
  <si>
    <t>GRUPO 2.1
ESCRITÓRIO</t>
  </si>
  <si>
    <t>2.1.1-Padrão Econômico</t>
  </si>
  <si>
    <t>2.1.2-Padrão Simples</t>
  </si>
  <si>
    <t>2.1.3-Padrão Médio</t>
  </si>
  <si>
    <t>2.1.4-Padrão Superior</t>
  </si>
  <si>
    <t>2.1.5-Padrão Fino</t>
  </si>
  <si>
    <t>2.1.6-Padrão Luxo</t>
  </si>
  <si>
    <t>Acima de 3,61</t>
  </si>
  <si>
    <t>GRUPO 3.1 COBERTURA</t>
  </si>
  <si>
    <t>3.1.1- Padrão Simples</t>
  </si>
  <si>
    <t>3.1.2- Padrão Médio</t>
  </si>
  <si>
    <t>3.1.3- Padrão Superior</t>
  </si>
  <si>
    <t>TABELA - VIDA REFERENCIAL X VALOR RESIDUAL</t>
  </si>
  <si>
    <t>CLASSE</t>
  </si>
  <si>
    <t>TIPO</t>
  </si>
  <si>
    <t>PADRÃO</t>
  </si>
  <si>
    <t>VIDA REFERENCIAL</t>
  </si>
  <si>
    <t>VALOR RESIDUAL</t>
  </si>
  <si>
    <t>(ANOS)</t>
  </si>
  <si>
    <t>(%)</t>
  </si>
  <si>
    <t>RESIDENCIAL</t>
  </si>
  <si>
    <t>APARTAMENTO</t>
  </si>
  <si>
    <t>ECONOMICO</t>
  </si>
  <si>
    <t>SIMPLES</t>
  </si>
  <si>
    <t>MÉDIO</t>
  </si>
  <si>
    <t>SUPERIOR</t>
  </si>
  <si>
    <t>FINO</t>
  </si>
  <si>
    <t>LUXO</t>
  </si>
  <si>
    <t>COMERCIAL</t>
  </si>
  <si>
    <t>ESCRITÓRIO</t>
  </si>
  <si>
    <t>Econômico</t>
  </si>
  <si>
    <t>Fino</t>
  </si>
  <si>
    <t xml:space="preserve">VALORES DE REFERENCIA PARA SÃO PAULO </t>
  </si>
  <si>
    <t>Luxo</t>
  </si>
  <si>
    <t>PUBLICADOS PELO IBPAE/SP - NOV/2006</t>
  </si>
  <si>
    <t>Simples</t>
  </si>
  <si>
    <t>Superior</t>
  </si>
  <si>
    <t>Grau de</t>
  </si>
  <si>
    <t>t=0,10</t>
  </si>
  <si>
    <t>NÃO ALTERAR NADA</t>
  </si>
  <si>
    <t>Liberdade</t>
  </si>
  <si>
    <t>NESTA PLANILHA</t>
  </si>
  <si>
    <t>(t-1)</t>
  </si>
  <si>
    <t>Carlos Augusto Silva Canil</t>
  </si>
  <si>
    <t>000.409.717-32</t>
  </si>
  <si>
    <t>Rua Cardeal Montini</t>
  </si>
  <si>
    <t>Jardim Santa Catarina</t>
  </si>
  <si>
    <t>São Gonçalo</t>
  </si>
  <si>
    <t>RJ</t>
  </si>
  <si>
    <t>24715-406</t>
  </si>
  <si>
    <t>Anexo</t>
  </si>
  <si>
    <t>Praxis Avaliação Patrimonial Ltda - 1998201067</t>
  </si>
  <si>
    <t>cerâmica</t>
  </si>
  <si>
    <t>madeira</t>
  </si>
  <si>
    <t>cerâmica 1/2 parede</t>
  </si>
  <si>
    <t>-</t>
  </si>
  <si>
    <t>ardósia 1/2 parede</t>
  </si>
  <si>
    <t>ardósia</t>
  </si>
  <si>
    <t>telha</t>
  </si>
  <si>
    <t>Casa isolada com varanda, sala, 02 quartos (01 suíte), hall, banheiro social, área de serviço e na parte externa piscina, garagem e área de lazer com churrasqueira e lavabo.</t>
  </si>
  <si>
    <t>Logradouro</t>
  </si>
  <si>
    <t>Área de serviço</t>
  </si>
  <si>
    <t>Sala</t>
  </si>
  <si>
    <t>Quarto</t>
  </si>
  <si>
    <t>Bnaheiro social</t>
  </si>
  <si>
    <t>Banheiro suíte</t>
  </si>
  <si>
    <t>quintal</t>
  </si>
  <si>
    <t>Fachada externa</t>
  </si>
  <si>
    <t>Rua Cardeal Roncali, em frente ao Lt 48 Qd 125</t>
  </si>
  <si>
    <t>Ítalo: 21 8867-3713</t>
  </si>
  <si>
    <t>02 quartos</t>
  </si>
  <si>
    <t>Cláudio: 21 9504-7211</t>
  </si>
  <si>
    <t>Rua Cardela Montini Lt 32 Qd 105 - fundos</t>
  </si>
  <si>
    <t>03 sendo 01 Suíte</t>
  </si>
  <si>
    <t>Rua Carlos Fox, Lt 12 Qd 53 Casa02</t>
  </si>
  <si>
    <t>Santos Gonçalves: 21 2702-5100</t>
  </si>
  <si>
    <t>Rua Eudito Egger 304</t>
  </si>
  <si>
    <t>Rua Cardeal Montini 812</t>
  </si>
  <si>
    <t>02 sendo 01 suite</t>
  </si>
  <si>
    <t>Rua Gilberto Amado 21, casa 02</t>
  </si>
  <si>
    <t>Francisco: 21 8760-3000</t>
  </si>
  <si>
    <t>03 quartos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</si>
</sst>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dd/mm/yy;@"/>
    <numFmt numFmtId="169" formatCode="0.0"/>
    <numFmt numFmtId="170" formatCode="\ #,##0.00_);\(\ #,##0.00\)"/>
    <numFmt numFmtId="171" formatCode="_(* #,##0.00_);_(* \(#,##0.00\);_(* \-??_);_(@_)"/>
    <numFmt numFmtId="172" formatCode="_-* #,##0_-;\-* #,##0_-;_-* &quot;-&quot;??_-;_-@_-"/>
    <numFmt numFmtId="173" formatCode="_(* #,##0.0000_);_(* \(#,##0.0000\);_(* &quot;-&quot;??_);_(@_)"/>
    <numFmt numFmtId="174" formatCode="#,##0.0_);\(#,##0.0\)"/>
    <numFmt numFmtId="175" formatCode="#,##0.000_);\(#,##0.000\)"/>
    <numFmt numFmtId="176" formatCode="#,##0.0000"/>
    <numFmt numFmtId="177" formatCode="#,##0.0000_);\(#,##0.0000\)"/>
    <numFmt numFmtId="178" formatCode="_(* #,##0.000_);_(* \(#,##0.000\);_(* &quot;-&quot;??_);_(@_)"/>
    <numFmt numFmtId="179" formatCode="0.0%"/>
    <numFmt numFmtId="180" formatCode="0.000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16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sz val="6"/>
      <name val="Arial"/>
      <family val="2"/>
    </font>
    <font>
      <i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Gill Sans MT Shadow"/>
      <family val="2"/>
    </font>
    <font>
      <u/>
      <sz val="1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sz val="20"/>
      <name val="Arial"/>
      <family val="2"/>
    </font>
    <font>
      <b/>
      <i/>
      <sz val="18"/>
      <color indexed="37"/>
      <name val="Verdana"/>
      <family val="2"/>
    </font>
    <font>
      <sz val="9"/>
      <name val="Times New Roman"/>
      <family val="1"/>
    </font>
    <font>
      <b/>
      <i/>
      <u/>
      <sz val="14"/>
      <color indexed="8"/>
      <name val="Verdana"/>
      <family val="2"/>
    </font>
    <font>
      <b/>
      <i/>
      <sz val="14"/>
      <color indexed="8"/>
      <name val="Verdana"/>
      <family val="2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32"/>
      <name val="Times New Roman"/>
      <family val="1"/>
    </font>
    <font>
      <i/>
      <sz val="11"/>
      <color indexed="8"/>
      <name val="Verdana"/>
      <family val="2"/>
    </font>
    <font>
      <b/>
      <i/>
      <sz val="11"/>
      <name val="Verdana"/>
      <family val="2"/>
    </font>
    <font>
      <i/>
      <sz val="11"/>
      <color indexed="10"/>
      <name val="Verdana"/>
      <family val="2"/>
    </font>
    <font>
      <i/>
      <sz val="10"/>
      <color indexed="58"/>
      <name val="Verdana"/>
      <family val="2"/>
    </font>
    <font>
      <i/>
      <sz val="11"/>
      <name val="Verdana"/>
      <family val="2"/>
    </font>
    <font>
      <i/>
      <sz val="9"/>
      <name val="Verdana"/>
      <family val="2"/>
    </font>
    <font>
      <i/>
      <sz val="10"/>
      <name val="Verdan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b/>
      <sz val="10"/>
      <color indexed="18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color indexed="8"/>
      <name val="Verdana"/>
      <family val="2"/>
    </font>
    <font>
      <sz val="9"/>
      <name val="Verdana"/>
      <family val="2"/>
    </font>
    <font>
      <b/>
      <sz val="10"/>
      <color indexed="10"/>
      <name val="Tahoma"/>
      <family val="2"/>
    </font>
    <font>
      <i/>
      <sz val="11"/>
      <color indexed="12"/>
      <name val="Verdana"/>
      <family val="2"/>
    </font>
    <font>
      <b/>
      <i/>
      <sz val="11"/>
      <color indexed="12"/>
      <name val="Verdana"/>
      <family val="2"/>
    </font>
    <font>
      <sz val="12"/>
      <color indexed="62"/>
      <name val="Verdana"/>
      <family val="2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4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10"/>
      </patternFill>
    </fill>
    <fill>
      <patternFill patternType="gray125">
        <fgColor indexed="9"/>
        <bgColor indexed="9"/>
      </patternFill>
    </fill>
    <fill>
      <patternFill patternType="gray125">
        <fgColor indexed="22"/>
        <bgColor indexed="9"/>
      </patternFill>
    </fill>
    <fill>
      <patternFill patternType="gray125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13"/>
      </patternFill>
    </fill>
    <fill>
      <patternFill patternType="solid">
        <fgColor indexed="26"/>
        <bgColor indexed="1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2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166" fontId="2" fillId="0" borderId="0" applyFont="0" applyFill="0" applyBorder="0" applyAlignment="0" applyProtection="0"/>
    <xf numFmtId="0" fontId="30" fillId="22" borderId="0" applyNumberFormat="0" applyBorder="0" applyAlignment="0" applyProtection="0"/>
    <xf numFmtId="0" fontId="10" fillId="0" borderId="0"/>
    <xf numFmtId="0" fontId="2" fillId="23" borderId="4" applyNumberFormat="0" applyFont="0" applyAlignment="0" applyProtection="0"/>
    <xf numFmtId="0" fontId="31" fillId="16" borderId="5" applyNumberFormat="0" applyAlignment="0" applyProtection="0"/>
    <xf numFmtId="165" fontId="2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1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10" fillId="0" borderId="0"/>
    <xf numFmtId="0" fontId="1" fillId="0" borderId="0"/>
    <xf numFmtId="0" fontId="1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54">
    <xf numFmtId="0" fontId="0" fillId="0" borderId="0" xfId="0"/>
    <xf numFmtId="0" fontId="0" fillId="0" borderId="0" xfId="0" applyBorder="1"/>
    <xf numFmtId="0" fontId="10" fillId="0" borderId="0" xfId="0" applyFont="1"/>
    <xf numFmtId="0" fontId="10" fillId="0" borderId="0" xfId="0" applyFont="1" applyBorder="1"/>
    <xf numFmtId="0" fontId="12" fillId="0" borderId="0" xfId="0" applyFont="1" applyBorder="1"/>
    <xf numFmtId="0" fontId="12" fillId="0" borderId="0" xfId="0" applyFont="1"/>
    <xf numFmtId="0" fontId="4" fillId="0" borderId="0" xfId="0" applyFont="1" applyBorder="1"/>
    <xf numFmtId="0" fontId="10" fillId="0" borderId="0" xfId="0" applyFont="1" applyFill="1" applyBorder="1"/>
    <xf numFmtId="0" fontId="0" fillId="0" borderId="0" xfId="0" applyBorder="1" applyAlignment="1">
      <alignment vertical="center"/>
    </xf>
    <xf numFmtId="0" fontId="6" fillId="24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/>
    <xf numFmtId="0" fontId="39" fillId="0" borderId="0" xfId="0" applyFont="1" applyBorder="1" applyProtection="1">
      <protection locked="0"/>
    </xf>
    <xf numFmtId="0" fontId="6" fillId="24" borderId="14" xfId="0" applyFont="1" applyFill="1" applyBorder="1" applyAlignment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41" fillId="25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 hidden="1"/>
    </xf>
    <xf numFmtId="0" fontId="40" fillId="0" borderId="0" xfId="0" applyFont="1" applyBorder="1" applyProtection="1">
      <protection locked="0" hidden="1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protection locked="0"/>
    </xf>
    <xf numFmtId="0" fontId="10" fillId="0" borderId="17" xfId="0" applyFont="1" applyBorder="1" applyAlignment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hidden="1"/>
    </xf>
    <xf numFmtId="0" fontId="0" fillId="0" borderId="11" xfId="0" applyBorder="1" applyAlignment="1">
      <alignment horizontal="center"/>
    </xf>
    <xf numFmtId="0" fontId="10" fillId="0" borderId="15" xfId="0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9" fillId="0" borderId="0" xfId="0" applyFont="1" applyBorder="1" applyProtection="1">
      <protection hidden="1"/>
    </xf>
    <xf numFmtId="2" fontId="0" fillId="0" borderId="0" xfId="0" applyNumberFormat="1" applyProtection="1">
      <protection hidden="1"/>
    </xf>
    <xf numFmtId="49" fontId="17" fillId="0" borderId="20" xfId="0" applyNumberFormat="1" applyFont="1" applyBorder="1" applyAlignment="1" applyProtection="1">
      <protection hidden="1"/>
    </xf>
    <xf numFmtId="49" fontId="17" fillId="0" borderId="21" xfId="0" applyNumberFormat="1" applyFont="1" applyBorder="1" applyAlignment="1" applyProtection="1">
      <protection hidden="1"/>
    </xf>
    <xf numFmtId="49" fontId="17" fillId="0" borderId="22" xfId="0" applyNumberFormat="1" applyFont="1" applyBorder="1" applyAlignment="1" applyProtection="1">
      <alignment horizontal="left"/>
      <protection hidden="1"/>
    </xf>
    <xf numFmtId="49" fontId="17" fillId="0" borderId="23" xfId="0" applyNumberFormat="1" applyFont="1" applyBorder="1" applyAlignment="1" applyProtection="1">
      <protection hidden="1"/>
    </xf>
    <xf numFmtId="0" fontId="3" fillId="0" borderId="11" xfId="0" applyFont="1" applyBorder="1" applyProtection="1">
      <protection locked="0"/>
    </xf>
    <xf numFmtId="0" fontId="3" fillId="0" borderId="11" xfId="0" applyFont="1" applyBorder="1"/>
    <xf numFmtId="0" fontId="10" fillId="0" borderId="0" xfId="33" applyFont="1" applyBorder="1"/>
    <xf numFmtId="0" fontId="10" fillId="0" borderId="0" xfId="33" applyAlignment="1"/>
    <xf numFmtId="0" fontId="10" fillId="0" borderId="0" xfId="33"/>
    <xf numFmtId="0" fontId="10" fillId="0" borderId="0" xfId="33" applyFont="1" applyFill="1" applyBorder="1" applyAlignment="1"/>
    <xf numFmtId="0" fontId="10" fillId="0" borderId="0" xfId="33" applyFont="1" applyBorder="1" applyAlignment="1"/>
    <xf numFmtId="0" fontId="10" fillId="0" borderId="0" xfId="33" applyFont="1" applyAlignment="1"/>
    <xf numFmtId="2" fontId="10" fillId="0" borderId="0" xfId="33" applyNumberFormat="1" applyFont="1" applyBorder="1" applyAlignment="1" applyProtection="1">
      <protection locked="0"/>
    </xf>
    <xf numFmtId="4" fontId="21" fillId="0" borderId="0" xfId="33" applyNumberFormat="1" applyFont="1" applyBorder="1" applyAlignment="1"/>
    <xf numFmtId="4" fontId="10" fillId="0" borderId="0" xfId="33" applyNumberFormat="1" applyFont="1" applyBorder="1" applyAlignment="1"/>
    <xf numFmtId="0" fontId="3" fillId="0" borderId="0" xfId="33" applyFont="1" applyBorder="1" applyAlignment="1" applyProtection="1">
      <alignment horizontal="center"/>
      <protection locked="0"/>
    </xf>
    <xf numFmtId="171" fontId="10" fillId="0" borderId="0" xfId="38" applyFont="1" applyFill="1" applyBorder="1" applyAlignment="1" applyProtection="1">
      <alignment horizontal="center"/>
      <protection locked="0"/>
    </xf>
    <xf numFmtId="0" fontId="10" fillId="0" borderId="0" xfId="33" applyFont="1" applyBorder="1" applyAlignment="1" applyProtection="1">
      <alignment horizontal="center"/>
      <protection locked="0"/>
    </xf>
    <xf numFmtId="1" fontId="10" fillId="0" borderId="0" xfId="33" applyNumberFormat="1" applyFont="1" applyBorder="1"/>
    <xf numFmtId="1" fontId="21" fillId="0" borderId="0" xfId="33" applyNumberFormat="1" applyFont="1" applyBorder="1"/>
    <xf numFmtId="0" fontId="10" fillId="0" borderId="0" xfId="33" applyFont="1" applyBorder="1" applyAlignment="1">
      <alignment horizontal="center"/>
    </xf>
    <xf numFmtId="0" fontId="10" fillId="0" borderId="0" xfId="33" applyFont="1"/>
    <xf numFmtId="0" fontId="0" fillId="0" borderId="16" xfId="0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>
      <alignment horizontal="left" vertical="center"/>
    </xf>
    <xf numFmtId="0" fontId="12" fillId="0" borderId="0" xfId="33" applyFont="1" applyBorder="1" applyAlignment="1" applyProtection="1">
      <alignment horizontal="center"/>
      <protection locked="0"/>
    </xf>
    <xf numFmtId="0" fontId="0" fillId="0" borderId="31" xfId="0" applyBorder="1"/>
    <xf numFmtId="0" fontId="0" fillId="0" borderId="32" xfId="0" applyBorder="1"/>
    <xf numFmtId="0" fontId="6" fillId="0" borderId="32" xfId="0" applyFont="1" applyFill="1" applyBorder="1" applyAlignment="1">
      <alignment horizontal="center"/>
    </xf>
    <xf numFmtId="0" fontId="0" fillId="0" borderId="33" xfId="0" applyBorder="1"/>
    <xf numFmtId="0" fontId="13" fillId="0" borderId="34" xfId="0" applyFont="1" applyBorder="1"/>
    <xf numFmtId="1" fontId="5" fillId="0" borderId="35" xfId="0" applyNumberFormat="1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6" fillId="0" borderId="37" xfId="0" applyFont="1" applyFill="1" applyBorder="1" applyAlignment="1"/>
    <xf numFmtId="0" fontId="0" fillId="0" borderId="38" xfId="0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13" fillId="0" borderId="34" xfId="0" applyFont="1" applyBorder="1" applyProtection="1">
      <protection locked="0"/>
    </xf>
    <xf numFmtId="0" fontId="0" fillId="0" borderId="35" xfId="0" applyBorder="1" applyProtection="1">
      <protection locked="0" hidden="1"/>
    </xf>
    <xf numFmtId="0" fontId="0" fillId="0" borderId="35" xfId="0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0" fillId="0" borderId="42" xfId="33" applyFont="1" applyBorder="1" applyAlignment="1" applyProtection="1">
      <protection locked="0"/>
    </xf>
    <xf numFmtId="0" fontId="10" fillId="0" borderId="43" xfId="33" applyFont="1" applyBorder="1" applyAlignment="1" applyProtection="1">
      <protection locked="0"/>
    </xf>
    <xf numFmtId="0" fontId="10" fillId="0" borderId="31" xfId="33" applyBorder="1"/>
    <xf numFmtId="0" fontId="10" fillId="0" borderId="32" xfId="33" applyBorder="1"/>
    <xf numFmtId="0" fontId="10" fillId="0" borderId="33" xfId="33" applyBorder="1"/>
    <xf numFmtId="0" fontId="10" fillId="0" borderId="34" xfId="33" applyBorder="1"/>
    <xf numFmtId="0" fontId="10" fillId="0" borderId="0" xfId="33" applyBorder="1" applyAlignment="1"/>
    <xf numFmtId="0" fontId="10" fillId="0" borderId="35" xfId="33" applyBorder="1" applyAlignment="1"/>
    <xf numFmtId="0" fontId="10" fillId="0" borderId="35" xfId="33" applyFont="1" applyBorder="1" applyAlignment="1"/>
    <xf numFmtId="0" fontId="10" fillId="0" borderId="35" xfId="33" applyFont="1" applyBorder="1"/>
    <xf numFmtId="1" fontId="21" fillId="0" borderId="35" xfId="33" applyNumberFormat="1" applyFont="1" applyBorder="1"/>
    <xf numFmtId="0" fontId="10" fillId="0" borderId="0" xfId="33" applyBorder="1"/>
    <xf numFmtId="0" fontId="10" fillId="0" borderId="35" xfId="33" applyBorder="1"/>
    <xf numFmtId="0" fontId="10" fillId="0" borderId="36" xfId="33" applyBorder="1"/>
    <xf numFmtId="0" fontId="10" fillId="0" borderId="37" xfId="33" applyFont="1" applyBorder="1"/>
    <xf numFmtId="0" fontId="10" fillId="0" borderId="37" xfId="33" applyBorder="1"/>
    <xf numFmtId="0" fontId="10" fillId="0" borderId="38" xfId="33" applyBorder="1"/>
    <xf numFmtId="0" fontId="3" fillId="0" borderId="16" xfId="33" applyFont="1" applyBorder="1" applyAlignment="1" applyProtection="1">
      <alignment horizontal="center"/>
      <protection locked="0"/>
    </xf>
    <xf numFmtId="171" fontId="10" fillId="0" borderId="17" xfId="38" applyFont="1" applyFill="1" applyBorder="1" applyAlignment="1" applyProtection="1">
      <alignment horizontal="center"/>
      <protection locked="0"/>
    </xf>
    <xf numFmtId="0" fontId="10" fillId="0" borderId="16" xfId="33" applyFont="1" applyBorder="1" applyAlignment="1" applyProtection="1">
      <alignment horizontal="center"/>
      <protection locked="0"/>
    </xf>
    <xf numFmtId="0" fontId="10" fillId="0" borderId="17" xfId="33" applyFont="1" applyBorder="1" applyAlignment="1" applyProtection="1">
      <alignment horizontal="center"/>
      <protection locked="0"/>
    </xf>
    <xf numFmtId="0" fontId="10" fillId="0" borderId="18" xfId="33" applyFont="1" applyBorder="1" applyProtection="1">
      <protection locked="0"/>
    </xf>
    <xf numFmtId="0" fontId="10" fillId="0" borderId="27" xfId="33" applyFont="1" applyBorder="1" applyProtection="1">
      <protection locked="0"/>
    </xf>
    <xf numFmtId="0" fontId="10" fillId="0" borderId="27" xfId="33" applyFont="1" applyBorder="1" applyAlignment="1" applyProtection="1">
      <protection locked="0"/>
    </xf>
    <xf numFmtId="0" fontId="12" fillId="0" borderId="44" xfId="33" applyFont="1" applyBorder="1" applyAlignment="1" applyProtection="1">
      <alignment horizontal="center"/>
      <protection locked="0"/>
    </xf>
    <xf numFmtId="0" fontId="10" fillId="0" borderId="16" xfId="33" applyFont="1" applyBorder="1" applyAlignment="1">
      <alignment horizontal="center"/>
    </xf>
    <xf numFmtId="0" fontId="10" fillId="0" borderId="17" xfId="33" applyFont="1" applyBorder="1" applyAlignment="1">
      <alignment horizontal="center"/>
    </xf>
    <xf numFmtId="0" fontId="12" fillId="0" borderId="45" xfId="33" applyFont="1" applyBorder="1" applyAlignment="1" applyProtection="1">
      <alignment horizontal="center"/>
      <protection locked="0"/>
    </xf>
    <xf numFmtId="0" fontId="10" fillId="0" borderId="25" xfId="33" applyFont="1" applyBorder="1" applyAlignment="1" applyProtection="1">
      <alignment horizontal="center"/>
      <protection locked="0"/>
    </xf>
    <xf numFmtId="0" fontId="10" fillId="0" borderId="26" xfId="33" applyFont="1" applyBorder="1" applyAlignment="1" applyProtection="1">
      <alignment horizontal="center"/>
      <protection locked="0"/>
    </xf>
    <xf numFmtId="0" fontId="10" fillId="0" borderId="28" xfId="33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</xf>
    <xf numFmtId="0" fontId="41" fillId="0" borderId="12" xfId="0" applyFont="1" applyBorder="1" applyAlignment="1" applyProtection="1">
      <alignment horizontal="center"/>
    </xf>
    <xf numFmtId="0" fontId="47" fillId="0" borderId="30" xfId="0" applyFont="1" applyBorder="1" applyAlignment="1" applyProtection="1">
      <alignment horizontal="center"/>
    </xf>
    <xf numFmtId="0" fontId="47" fillId="0" borderId="14" xfId="0" applyFont="1" applyBorder="1" applyAlignment="1" applyProtection="1">
      <alignment horizontal="center"/>
    </xf>
    <xf numFmtId="0" fontId="47" fillId="0" borderId="12" xfId="0" applyFont="1" applyBorder="1" applyAlignment="1" applyProtection="1">
      <alignment horizontal="center"/>
    </xf>
    <xf numFmtId="0" fontId="47" fillId="0" borderId="13" xfId="0" applyFont="1" applyBorder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0" fillId="0" borderId="37" xfId="0" applyBorder="1" applyAlignment="1">
      <alignment vertical="center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9" fillId="0" borderId="33" xfId="0" applyFont="1" applyBorder="1" applyProtection="1">
      <protection hidden="1"/>
    </xf>
    <xf numFmtId="0" fontId="0" fillId="0" borderId="34" xfId="0" applyBorder="1" applyProtection="1">
      <protection hidden="1"/>
    </xf>
    <xf numFmtId="0" fontId="19" fillId="0" borderId="35" xfId="0" applyFont="1" applyBorder="1" applyProtection="1">
      <protection hidden="1"/>
    </xf>
    <xf numFmtId="0" fontId="0" fillId="0" borderId="34" xfId="0" applyBorder="1" applyAlignment="1" applyProtection="1">
      <alignment vertical="center"/>
      <protection hidden="1"/>
    </xf>
    <xf numFmtId="169" fontId="19" fillId="0" borderId="35" xfId="0" applyNumberFormat="1" applyFont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19" fillId="0" borderId="38" xfId="0" applyFont="1" applyBorder="1" applyProtection="1">
      <protection hidden="1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2" fillId="0" borderId="34" xfId="0" applyFont="1" applyBorder="1"/>
    <xf numFmtId="0" fontId="12" fillId="0" borderId="35" xfId="0" applyFont="1" applyBorder="1"/>
    <xf numFmtId="0" fontId="4" fillId="0" borderId="34" xfId="0" applyFont="1" applyBorder="1"/>
    <xf numFmtId="0" fontId="4" fillId="0" borderId="35" xfId="0" applyFont="1" applyBorder="1"/>
    <xf numFmtId="0" fontId="10" fillId="0" borderId="0" xfId="0" applyFont="1" applyBorder="1" applyProtection="1">
      <protection locked="0"/>
    </xf>
    <xf numFmtId="0" fontId="10" fillId="0" borderId="36" xfId="0" applyFont="1" applyBorder="1"/>
    <xf numFmtId="0" fontId="10" fillId="0" borderId="37" xfId="0" applyFont="1" applyBorder="1"/>
    <xf numFmtId="0" fontId="10" fillId="0" borderId="38" xfId="0" applyFont="1" applyBorder="1"/>
    <xf numFmtId="0" fontId="3" fillId="0" borderId="30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 applyProtection="1">
      <alignment horizontal="left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0" borderId="26" xfId="0" applyFont="1" applyFill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8" fillId="0" borderId="12" xfId="0" applyFont="1" applyBorder="1" applyAlignment="1" applyProtection="1">
      <alignment horizontal="justify" vertical="center"/>
    </xf>
    <xf numFmtId="0" fontId="46" fillId="0" borderId="12" xfId="0" applyFont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/>
    </xf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0" borderId="16" xfId="0" applyBorder="1"/>
    <xf numFmtId="0" fontId="39" fillId="0" borderId="0" xfId="0" applyFont="1" applyFill="1" applyBorder="1" applyAlignment="1" applyProtection="1">
      <alignment horizontal="center"/>
      <protection locked="0" hidden="1"/>
    </xf>
    <xf numFmtId="2" fontId="11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3" fontId="11" fillId="0" borderId="0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51" fillId="36" borderId="0" xfId="0" applyFont="1" applyFill="1" applyAlignment="1">
      <alignment horizontal="center" vertical="center"/>
    </xf>
    <xf numFmtId="0" fontId="52" fillId="37" borderId="0" xfId="0" applyFont="1" applyFill="1" applyAlignment="1">
      <alignment horizontal="left"/>
    </xf>
    <xf numFmtId="0" fontId="0" fillId="38" borderId="0" xfId="0" applyFill="1"/>
    <xf numFmtId="0" fontId="0" fillId="38" borderId="0" xfId="0" applyFont="1" applyFill="1"/>
    <xf numFmtId="0" fontId="52" fillId="39" borderId="0" xfId="0" applyFont="1" applyFill="1"/>
    <xf numFmtId="0" fontId="0" fillId="39" borderId="0" xfId="0" applyFill="1"/>
    <xf numFmtId="0" fontId="0" fillId="40" borderId="0" xfId="0" applyFill="1"/>
    <xf numFmtId="0" fontId="52" fillId="41" borderId="0" xfId="0" applyFont="1" applyFill="1"/>
    <xf numFmtId="0" fontId="53" fillId="41" borderId="0" xfId="0" applyFont="1" applyFill="1"/>
    <xf numFmtId="0" fontId="0" fillId="42" borderId="0" xfId="0" applyFill="1"/>
    <xf numFmtId="0" fontId="52" fillId="43" borderId="0" xfId="0" applyFont="1" applyFill="1"/>
    <xf numFmtId="0" fontId="53" fillId="43" borderId="0" xfId="0" applyFont="1" applyFill="1"/>
    <xf numFmtId="0" fontId="0" fillId="44" borderId="0" xfId="0" applyFill="1"/>
    <xf numFmtId="0" fontId="0" fillId="45" borderId="0" xfId="0" applyFill="1"/>
    <xf numFmtId="0" fontId="52" fillId="46" borderId="0" xfId="0" applyFont="1" applyFill="1"/>
    <xf numFmtId="0" fontId="0" fillId="46" borderId="0" xfId="0" applyFill="1"/>
    <xf numFmtId="0" fontId="0" fillId="47" borderId="0" xfId="0" applyFill="1"/>
    <xf numFmtId="0" fontId="54" fillId="48" borderId="0" xfId="0" applyFont="1" applyFill="1" applyAlignment="1">
      <alignment vertical="center"/>
    </xf>
    <xf numFmtId="0" fontId="52" fillId="48" borderId="0" xfId="0" applyFont="1" applyFill="1" applyAlignment="1">
      <alignment vertical="center"/>
    </xf>
    <xf numFmtId="0" fontId="54" fillId="49" borderId="0" xfId="0" applyFont="1" applyFill="1" applyAlignment="1">
      <alignment vertical="center"/>
    </xf>
    <xf numFmtId="0" fontId="52" fillId="49" borderId="0" xfId="0" applyFont="1" applyFill="1" applyAlignment="1">
      <alignment vertical="center"/>
    </xf>
    <xf numFmtId="0" fontId="54" fillId="50" borderId="0" xfId="0" applyFont="1" applyFill="1" applyAlignment="1">
      <alignment vertical="center"/>
    </xf>
    <xf numFmtId="0" fontId="52" fillId="50" borderId="0" xfId="0" applyFont="1" applyFill="1" applyAlignment="1">
      <alignment vertical="center"/>
    </xf>
    <xf numFmtId="0" fontId="55" fillId="0" borderId="0" xfId="0" applyFont="1"/>
    <xf numFmtId="0" fontId="3" fillId="0" borderId="11" xfId="0" applyFont="1" applyBorder="1" applyAlignment="1">
      <alignment horizontal="center"/>
    </xf>
    <xf numFmtId="0" fontId="10" fillId="0" borderId="0" xfId="0" applyFont="1" applyFill="1" applyBorder="1" applyProtection="1">
      <protection locked="0"/>
    </xf>
    <xf numFmtId="0" fontId="0" fillId="44" borderId="12" xfId="0" applyFill="1" applyBorder="1"/>
    <xf numFmtId="0" fontId="0" fillId="47" borderId="12" xfId="0" applyFill="1" applyBorder="1"/>
    <xf numFmtId="0" fontId="0" fillId="38" borderId="12" xfId="0" applyFill="1" applyBorder="1" applyAlignment="1">
      <alignment horizontal="left"/>
    </xf>
    <xf numFmtId="4" fontId="0" fillId="42" borderId="12" xfId="0" applyNumberFormat="1" applyFill="1" applyBorder="1" applyAlignment="1">
      <alignment horizontal="left"/>
    </xf>
    <xf numFmtId="0" fontId="0" fillId="42" borderId="12" xfId="0" applyFill="1" applyBorder="1" applyAlignment="1">
      <alignment horizontal="left"/>
    </xf>
    <xf numFmtId="0" fontId="0" fillId="42" borderId="12" xfId="0" applyFill="1" applyBorder="1"/>
    <xf numFmtId="0" fontId="10" fillId="38" borderId="12" xfId="0" applyFont="1" applyFill="1" applyBorder="1"/>
    <xf numFmtId="0" fontId="0" fillId="44" borderId="12" xfId="0" applyFill="1" applyBorder="1" applyAlignment="1">
      <alignment horizontal="left"/>
    </xf>
    <xf numFmtId="14" fontId="0" fillId="0" borderId="12" xfId="0" applyNumberFormat="1" applyBorder="1" applyAlignment="1">
      <alignment horizontal="left"/>
    </xf>
    <xf numFmtId="4" fontId="52" fillId="49" borderId="0" xfId="0" applyNumberFormat="1" applyFont="1" applyFill="1" applyAlignment="1">
      <alignment horizontal="center" vertical="center"/>
    </xf>
    <xf numFmtId="0" fontId="0" fillId="47" borderId="12" xfId="0" applyFill="1" applyBorder="1" applyAlignment="1">
      <alignment horizontal="left"/>
    </xf>
    <xf numFmtId="4" fontId="0" fillId="45" borderId="12" xfId="0" applyNumberFormat="1" applyFill="1" applyBorder="1" applyAlignment="1">
      <alignment horizontal="left"/>
    </xf>
    <xf numFmtId="4" fontId="0" fillId="45" borderId="17" xfId="0" applyNumberFormat="1" applyFill="1" applyBorder="1" applyAlignment="1">
      <alignment horizontal="left"/>
    </xf>
    <xf numFmtId="0" fontId="12" fillId="0" borderId="137" xfId="0" applyFont="1" applyBorder="1" applyAlignment="1" applyProtection="1">
      <alignment horizontal="center" vertical="center"/>
      <protection locked="0"/>
    </xf>
    <xf numFmtId="4" fontId="0" fillId="44" borderId="12" xfId="0" applyNumberFormat="1" applyFill="1" applyBorder="1" applyAlignment="1">
      <alignment horizontal="left"/>
    </xf>
    <xf numFmtId="0" fontId="0" fillId="40" borderId="12" xfId="0" applyFill="1" applyBorder="1"/>
    <xf numFmtId="0" fontId="0" fillId="40" borderId="0" xfId="0" applyFill="1" applyAlignment="1"/>
    <xf numFmtId="0" fontId="0" fillId="40" borderId="136" xfId="0" applyFill="1" applyBorder="1" applyAlignment="1"/>
    <xf numFmtId="0" fontId="10" fillId="0" borderId="14" xfId="0" applyFont="1" applyBorder="1"/>
    <xf numFmtId="0" fontId="0" fillId="0" borderId="30" xfId="0" applyBorder="1"/>
    <xf numFmtId="0" fontId="0" fillId="40" borderId="12" xfId="0" applyFill="1" applyBorder="1" applyAlignment="1"/>
    <xf numFmtId="0" fontId="10" fillId="0" borderId="0" xfId="48"/>
    <xf numFmtId="0" fontId="10" fillId="0" borderId="0" xfId="48" applyBorder="1" applyAlignment="1"/>
    <xf numFmtId="0" fontId="10" fillId="0" borderId="26" xfId="48" applyBorder="1"/>
    <xf numFmtId="2" fontId="10" fillId="0" borderId="26" xfId="48" applyNumberFormat="1" applyBorder="1"/>
    <xf numFmtId="0" fontId="10" fillId="0" borderId="26" xfId="48" applyBorder="1" applyAlignment="1">
      <alignment horizontal="right"/>
    </xf>
    <xf numFmtId="0" fontId="12" fillId="0" borderId="12" xfId="48" applyFont="1" applyBorder="1" applyAlignment="1">
      <alignment horizontal="center"/>
    </xf>
    <xf numFmtId="0" fontId="10" fillId="0" borderId="0" xfId="48" applyBorder="1"/>
    <xf numFmtId="2" fontId="10" fillId="0" borderId="0" xfId="48" applyNumberFormat="1" applyBorder="1"/>
    <xf numFmtId="0" fontId="10" fillId="0" borderId="17" xfId="48" applyBorder="1"/>
    <xf numFmtId="0" fontId="10" fillId="0" borderId="27" xfId="48" applyBorder="1" applyAlignment="1">
      <alignment horizontal="center"/>
    </xf>
    <xf numFmtId="0" fontId="10" fillId="0" borderId="27" xfId="48" applyBorder="1"/>
    <xf numFmtId="2" fontId="10" fillId="0" borderId="27" xfId="48" applyNumberFormat="1" applyBorder="1"/>
    <xf numFmtId="0" fontId="10" fillId="0" borderId="27" xfId="48" applyBorder="1" applyAlignment="1">
      <alignment horizontal="left"/>
    </xf>
    <xf numFmtId="0" fontId="10" fillId="0" borderId="16" xfId="48" applyBorder="1"/>
    <xf numFmtId="0" fontId="10" fillId="0" borderId="0" xfId="48" applyFill="1" applyBorder="1"/>
    <xf numFmtId="0" fontId="57" fillId="0" borderId="17" xfId="48" applyFont="1" applyBorder="1"/>
    <xf numFmtId="0" fontId="10" fillId="0" borderId="14" xfId="48" applyBorder="1"/>
    <xf numFmtId="0" fontId="10" fillId="0" borderId="30" xfId="48" applyBorder="1"/>
    <xf numFmtId="0" fontId="10" fillId="0" borderId="30" xfId="48" applyFont="1" applyBorder="1"/>
    <xf numFmtId="0" fontId="10" fillId="0" borderId="13" xfId="48" applyBorder="1"/>
    <xf numFmtId="0" fontId="10" fillId="0" borderId="10" xfId="48" applyBorder="1" applyAlignment="1">
      <alignment horizontal="centerContinuous"/>
    </xf>
    <xf numFmtId="0" fontId="10" fillId="0" borderId="0" xfId="48" applyBorder="1" applyAlignment="1">
      <alignment horizontal="centerContinuous"/>
    </xf>
    <xf numFmtId="0" fontId="10" fillId="0" borderId="16" xfId="48" applyBorder="1" applyAlignment="1">
      <alignment horizontal="centerContinuous"/>
    </xf>
    <xf numFmtId="0" fontId="10" fillId="0" borderId="24" xfId="48" applyBorder="1" applyAlignment="1">
      <alignment horizontal="centerContinuous"/>
    </xf>
    <xf numFmtId="0" fontId="10" fillId="0" borderId="18" xfId="48" applyBorder="1"/>
    <xf numFmtId="0" fontId="10" fillId="0" borderId="11" xfId="48" applyBorder="1"/>
    <xf numFmtId="0" fontId="10" fillId="0" borderId="18" xfId="48" applyBorder="1" applyAlignment="1">
      <alignment horizontal="centerContinuous"/>
    </xf>
    <xf numFmtId="0" fontId="10" fillId="0" borderId="11" xfId="48" applyBorder="1" applyAlignment="1">
      <alignment horizontal="centerContinuous"/>
    </xf>
    <xf numFmtId="0" fontId="10" fillId="0" borderId="10" xfId="48" applyBorder="1"/>
    <xf numFmtId="1" fontId="10" fillId="0" borderId="16" xfId="48" applyNumberFormat="1" applyBorder="1" applyAlignment="1">
      <alignment horizontal="center"/>
    </xf>
    <xf numFmtId="2" fontId="10" fillId="0" borderId="16" xfId="48" applyNumberFormat="1" applyBorder="1"/>
    <xf numFmtId="0" fontId="10" fillId="0" borderId="24" xfId="48" applyBorder="1"/>
    <xf numFmtId="0" fontId="10" fillId="0" borderId="16" xfId="48" applyBorder="1" applyAlignment="1">
      <alignment horizontal="center"/>
    </xf>
    <xf numFmtId="0" fontId="12" fillId="0" borderId="16" xfId="48" applyFont="1" applyBorder="1"/>
    <xf numFmtId="0" fontId="12" fillId="0" borderId="16" xfId="48" applyFont="1" applyBorder="1" applyAlignment="1">
      <alignment horizontal="center"/>
    </xf>
    <xf numFmtId="170" fontId="12" fillId="0" borderId="16" xfId="48" applyNumberFormat="1" applyFont="1" applyBorder="1"/>
    <xf numFmtId="2" fontId="12" fillId="0" borderId="16" xfId="48" applyNumberFormat="1" applyFont="1" applyBorder="1"/>
    <xf numFmtId="170" fontId="10" fillId="0" borderId="16" xfId="48" applyNumberFormat="1" applyBorder="1"/>
    <xf numFmtId="1" fontId="12" fillId="0" borderId="16" xfId="48" applyNumberFormat="1" applyFont="1" applyBorder="1" applyAlignment="1">
      <alignment horizontal="center"/>
    </xf>
    <xf numFmtId="170" fontId="10" fillId="0" borderId="24" xfId="48" applyNumberFormat="1" applyBorder="1"/>
    <xf numFmtId="0" fontId="10" fillId="0" borderId="24" xfId="48" applyBorder="1" applyAlignment="1">
      <alignment horizontal="left"/>
    </xf>
    <xf numFmtId="0" fontId="12" fillId="0" borderId="16" xfId="48" applyFont="1" applyBorder="1" applyAlignment="1">
      <alignment horizontal="left"/>
    </xf>
    <xf numFmtId="2" fontId="10" fillId="0" borderId="24" xfId="48" applyNumberFormat="1" applyBorder="1"/>
    <xf numFmtId="170" fontId="12" fillId="0" borderId="24" xfId="48" applyNumberFormat="1" applyFont="1" applyBorder="1"/>
    <xf numFmtId="2" fontId="12" fillId="0" borderId="24" xfId="48" applyNumberFormat="1" applyFont="1" applyBorder="1"/>
    <xf numFmtId="0" fontId="10" fillId="0" borderId="18" xfId="48" applyBorder="1" applyAlignment="1">
      <alignment horizontal="center"/>
    </xf>
    <xf numFmtId="170" fontId="10" fillId="0" borderId="18" xfId="48" applyNumberFormat="1" applyBorder="1"/>
    <xf numFmtId="2" fontId="10" fillId="0" borderId="18" xfId="48" applyNumberFormat="1" applyBorder="1"/>
    <xf numFmtId="170" fontId="10" fillId="0" borderId="11" xfId="48" applyNumberFormat="1" applyBorder="1"/>
    <xf numFmtId="2" fontId="10" fillId="0" borderId="11" xfId="48" applyNumberFormat="1" applyBorder="1"/>
    <xf numFmtId="170" fontId="10" fillId="0" borderId="0" xfId="48" applyNumberFormat="1" applyBorder="1"/>
    <xf numFmtId="2" fontId="10" fillId="0" borderId="16" xfId="48" applyNumberFormat="1" applyBorder="1" applyAlignment="1">
      <alignment horizontal="left"/>
    </xf>
    <xf numFmtId="170" fontId="10" fillId="0" borderId="28" xfId="48" applyNumberFormat="1" applyBorder="1"/>
    <xf numFmtId="170" fontId="10" fillId="0" borderId="17" xfId="48" applyNumberFormat="1" applyBorder="1"/>
    <xf numFmtId="0" fontId="10" fillId="0" borderId="0" xfId="48" applyFill="1" applyBorder="1" applyAlignment="1">
      <alignment horizontal="left"/>
    </xf>
    <xf numFmtId="2" fontId="10" fillId="0" borderId="30" xfId="48" applyNumberFormat="1" applyBorder="1"/>
    <xf numFmtId="170" fontId="10" fillId="0" borderId="13" xfId="48" applyNumberFormat="1" applyBorder="1"/>
    <xf numFmtId="0" fontId="12" fillId="0" borderId="0" xfId="48" applyFont="1" applyBorder="1" applyAlignment="1">
      <alignment horizontal="left"/>
    </xf>
    <xf numFmtId="0" fontId="10" fillId="0" borderId="0" xfId="48" applyBorder="1" applyAlignment="1">
      <alignment horizontal="left"/>
    </xf>
    <xf numFmtId="170" fontId="10" fillId="0" borderId="0" xfId="48" applyNumberFormat="1" applyBorder="1" applyAlignment="1">
      <alignment horizontal="centerContinuous"/>
    </xf>
    <xf numFmtId="2" fontId="10" fillId="0" borderId="16" xfId="48" quotePrefix="1" applyNumberFormat="1" applyBorder="1" applyAlignment="1">
      <alignment horizontal="left"/>
    </xf>
    <xf numFmtId="2" fontId="10" fillId="0" borderId="0" xfId="48" quotePrefix="1" applyNumberFormat="1" applyBorder="1" applyAlignment="1">
      <alignment horizontal="left"/>
    </xf>
    <xf numFmtId="0" fontId="15" fillId="0" borderId="0" xfId="48" applyFont="1" applyFill="1" applyBorder="1" applyAlignment="1">
      <alignment horizontal="left"/>
    </xf>
    <xf numFmtId="2" fontId="10" fillId="0" borderId="14" xfId="48" applyNumberFormat="1" applyBorder="1"/>
    <xf numFmtId="2" fontId="10" fillId="0" borderId="0" xfId="48" applyNumberFormat="1" applyBorder="1" applyAlignment="1">
      <alignment horizontal="left"/>
    </xf>
    <xf numFmtId="2" fontId="3" fillId="0" borderId="0" xfId="48" applyNumberFormat="1" applyFont="1" applyFill="1" applyBorder="1"/>
    <xf numFmtId="2" fontId="10" fillId="0" borderId="0" xfId="48" quotePrefix="1" applyNumberFormat="1" applyFill="1" applyBorder="1" applyAlignment="1">
      <alignment horizontal="left"/>
    </xf>
    <xf numFmtId="2" fontId="10" fillId="0" borderId="0" xfId="48" applyNumberFormat="1" applyFill="1" applyBorder="1"/>
    <xf numFmtId="170" fontId="10" fillId="0" borderId="0" xfId="48" applyNumberFormat="1" applyFill="1" applyBorder="1"/>
    <xf numFmtId="2" fontId="10" fillId="0" borderId="0" xfId="48" applyNumberFormat="1" applyFill="1" applyBorder="1" applyAlignment="1">
      <alignment horizontal="left"/>
    </xf>
    <xf numFmtId="170" fontId="10" fillId="0" borderId="27" xfId="48" applyNumberFormat="1" applyBorder="1"/>
    <xf numFmtId="2" fontId="10" fillId="0" borderId="27" xfId="48" applyNumberFormat="1" applyFill="1" applyBorder="1"/>
    <xf numFmtId="0" fontId="10" fillId="0" borderId="27" xfId="48" applyFill="1" applyBorder="1"/>
    <xf numFmtId="170" fontId="10" fillId="0" borderId="27" xfId="48" applyNumberFormat="1" applyFill="1" applyBorder="1"/>
    <xf numFmtId="170" fontId="10" fillId="0" borderId="29" xfId="48" applyNumberFormat="1" applyBorder="1"/>
    <xf numFmtId="2" fontId="10" fillId="0" borderId="18" xfId="48" applyNumberFormat="1" applyBorder="1" applyAlignment="1">
      <alignment horizontal="centerContinuous"/>
    </xf>
    <xf numFmtId="2" fontId="10" fillId="0" borderId="18" xfId="48" applyNumberFormat="1" applyBorder="1" applyAlignment="1">
      <alignment horizontal="center"/>
    </xf>
    <xf numFmtId="170" fontId="10" fillId="0" borderId="18" xfId="48" applyNumberFormat="1" applyBorder="1" applyAlignment="1">
      <alignment horizontal="center"/>
    </xf>
    <xf numFmtId="170" fontId="10" fillId="0" borderId="18" xfId="48" applyNumberFormat="1" applyBorder="1" applyAlignment="1">
      <alignment horizontal="centerContinuous"/>
    </xf>
    <xf numFmtId="2" fontId="10" fillId="0" borderId="12" xfId="48" applyNumberFormat="1" applyBorder="1" applyAlignment="1">
      <alignment horizontal="center"/>
    </xf>
    <xf numFmtId="0" fontId="10" fillId="0" borderId="0" xfId="48" quotePrefix="1" applyBorder="1" applyAlignment="1">
      <alignment horizontal="centerContinuous"/>
    </xf>
    <xf numFmtId="2" fontId="10" fillId="0" borderId="18" xfId="48" applyNumberFormat="1" applyBorder="1" applyAlignment="1"/>
    <xf numFmtId="2" fontId="10" fillId="53" borderId="18" xfId="48" applyNumberFormat="1" applyFill="1" applyBorder="1"/>
    <xf numFmtId="2" fontId="10" fillId="53" borderId="16" xfId="48" applyNumberFormat="1" applyFill="1" applyBorder="1"/>
    <xf numFmtId="2" fontId="10" fillId="53" borderId="0" xfId="48" applyNumberFormat="1" applyFill="1" applyBorder="1"/>
    <xf numFmtId="2" fontId="10" fillId="0" borderId="12" xfId="48" applyNumberFormat="1" applyBorder="1"/>
    <xf numFmtId="4" fontId="15" fillId="0" borderId="13" xfId="48" applyNumberFormat="1" applyFont="1" applyBorder="1"/>
    <xf numFmtId="2" fontId="10" fillId="53" borderId="27" xfId="48" applyNumberFormat="1" applyFill="1" applyBorder="1"/>
    <xf numFmtId="170" fontId="10" fillId="0" borderId="18" xfId="48" quotePrefix="1" applyNumberFormat="1" applyBorder="1"/>
    <xf numFmtId="0" fontId="10" fillId="0" borderId="29" xfId="48" applyBorder="1"/>
    <xf numFmtId="0" fontId="10" fillId="0" borderId="12" xfId="48" applyBorder="1"/>
    <xf numFmtId="0" fontId="10" fillId="0" borderId="12" xfId="48" applyBorder="1" applyAlignment="1">
      <alignment horizontal="center"/>
    </xf>
    <xf numFmtId="0" fontId="10" fillId="0" borderId="16" xfId="48" applyNumberFormat="1" applyBorder="1" applyAlignment="1">
      <alignment horizontal="center"/>
    </xf>
    <xf numFmtId="0" fontId="10" fillId="0" borderId="10" xfId="48" applyBorder="1" applyAlignment="1">
      <alignment horizontal="center"/>
    </xf>
    <xf numFmtId="0" fontId="12" fillId="0" borderId="16" xfId="48" applyFont="1" applyBorder="1" applyAlignment="1">
      <alignment horizontal="center" vertical="center"/>
    </xf>
    <xf numFmtId="170" fontId="12" fillId="0" borderId="16" xfId="48" applyNumberFormat="1" applyFont="1" applyBorder="1" applyAlignment="1">
      <alignment vertical="center"/>
    </xf>
    <xf numFmtId="2" fontId="12" fillId="0" borderId="16" xfId="48" applyNumberFormat="1" applyFont="1" applyBorder="1" applyAlignment="1">
      <alignment vertical="center"/>
    </xf>
    <xf numFmtId="0" fontId="12" fillId="0" borderId="16" xfId="48" applyFont="1" applyBorder="1" applyAlignment="1">
      <alignment vertical="center"/>
    </xf>
    <xf numFmtId="0" fontId="12" fillId="0" borderId="16" xfId="48" applyNumberFormat="1" applyFont="1" applyBorder="1" applyAlignment="1">
      <alignment horizontal="center" vertical="center"/>
    </xf>
    <xf numFmtId="170" fontId="12" fillId="0" borderId="24" xfId="48" applyNumberFormat="1" applyFont="1" applyBorder="1" applyAlignment="1">
      <alignment vertical="center"/>
    </xf>
    <xf numFmtId="0" fontId="46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10" fontId="47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12" fillId="0" borderId="16" xfId="48" applyNumberFormat="1" applyFont="1" applyBorder="1" applyAlignment="1">
      <alignment horizontal="center" vertical="center"/>
    </xf>
    <xf numFmtId="0" fontId="10" fillId="0" borderId="0" xfId="48" applyAlignment="1">
      <alignment horizontal="center"/>
    </xf>
    <xf numFmtId="0" fontId="3" fillId="52" borderId="0" xfId="0" applyFont="1" applyFill="1"/>
    <xf numFmtId="0" fontId="58" fillId="0" borderId="0" xfId="49" applyFont="1" applyAlignment="1">
      <alignment horizontal="left" vertical="center" wrapText="1"/>
    </xf>
    <xf numFmtId="0" fontId="58" fillId="0" borderId="0" xfId="49" applyFont="1" applyAlignment="1">
      <alignment horizontal="left" vertical="center"/>
    </xf>
    <xf numFmtId="0" fontId="59" fillId="0" borderId="0" xfId="49" applyFont="1"/>
    <xf numFmtId="0" fontId="58" fillId="0" borderId="140" xfId="49" applyFont="1" applyFill="1" applyBorder="1" applyAlignment="1">
      <alignment horizontal="left" vertical="center" wrapText="1"/>
    </xf>
    <xf numFmtId="0" fontId="58" fillId="0" borderId="141" xfId="49" applyFont="1" applyBorder="1" applyAlignment="1">
      <alignment horizontal="left" vertical="center" wrapText="1"/>
    </xf>
    <xf numFmtId="0" fontId="1" fillId="0" borderId="0" xfId="49"/>
    <xf numFmtId="0" fontId="58" fillId="0" borderId="142" xfId="49" applyFont="1" applyFill="1" applyBorder="1" applyAlignment="1">
      <alignment horizontal="left" vertical="center" wrapText="1"/>
    </xf>
    <xf numFmtId="0" fontId="58" fillId="0" borderId="0" xfId="49" applyFont="1" applyAlignment="1">
      <alignment horizontal="center" vertical="center"/>
    </xf>
    <xf numFmtId="0" fontId="58" fillId="38" borderId="145" xfId="49" applyFont="1" applyFill="1" applyBorder="1" applyAlignment="1">
      <alignment horizontal="left" vertical="center" wrapText="1"/>
    </xf>
    <xf numFmtId="0" fontId="58" fillId="0" borderId="146" xfId="49" applyFont="1" applyBorder="1" applyAlignment="1">
      <alignment horizontal="left" vertical="center" wrapText="1"/>
    </xf>
    <xf numFmtId="0" fontId="58" fillId="38" borderId="142" xfId="49" applyFont="1" applyFill="1" applyBorder="1" applyAlignment="1">
      <alignment horizontal="left" vertical="center" wrapText="1"/>
    </xf>
    <xf numFmtId="0" fontId="58" fillId="38" borderId="147" xfId="49" applyFont="1" applyFill="1" applyBorder="1" applyAlignment="1">
      <alignment horizontal="left" vertical="center" wrapText="1"/>
    </xf>
    <xf numFmtId="0" fontId="60" fillId="39" borderId="148" xfId="49" applyFont="1" applyFill="1" applyBorder="1" applyAlignment="1">
      <alignment horizontal="center" vertical="center" wrapText="1"/>
    </xf>
    <xf numFmtId="0" fontId="58" fillId="0" borderId="149" xfId="49" applyFont="1" applyFill="1" applyBorder="1" applyAlignment="1">
      <alignment horizontal="left" vertical="center" wrapText="1"/>
    </xf>
    <xf numFmtId="0" fontId="58" fillId="0" borderId="147" xfId="49" applyFont="1" applyFill="1" applyBorder="1" applyAlignment="1">
      <alignment horizontal="left" vertical="center" wrapText="1"/>
    </xf>
    <xf numFmtId="0" fontId="60" fillId="41" borderId="148" xfId="49" applyFont="1" applyFill="1" applyBorder="1" applyAlignment="1">
      <alignment horizontal="center" vertical="center" wrapText="1"/>
    </xf>
    <xf numFmtId="0" fontId="60" fillId="43" borderId="148" xfId="49" applyFont="1" applyFill="1" applyBorder="1" applyAlignment="1">
      <alignment horizontal="center" vertical="center" wrapText="1"/>
    </xf>
    <xf numFmtId="0" fontId="60" fillId="55" borderId="148" xfId="49" applyFont="1" applyFill="1" applyBorder="1" applyAlignment="1">
      <alignment horizontal="center" vertical="center" wrapText="1"/>
    </xf>
    <xf numFmtId="0" fontId="61" fillId="49" borderId="142" xfId="49" applyFont="1" applyFill="1" applyBorder="1" applyAlignment="1">
      <alignment horizontal="left" vertical="center" wrapText="1"/>
    </xf>
    <xf numFmtId="14" fontId="1" fillId="0" borderId="0" xfId="49" applyNumberFormat="1" applyAlignment="1">
      <alignment horizontal="left"/>
    </xf>
    <xf numFmtId="0" fontId="1" fillId="52" borderId="150" xfId="49" applyFill="1" applyBorder="1" applyAlignment="1">
      <alignment horizontal="left"/>
    </xf>
    <xf numFmtId="0" fontId="1" fillId="0" borderId="0" xfId="49" applyAlignment="1">
      <alignment horizontal="left"/>
    </xf>
    <xf numFmtId="4" fontId="1" fillId="0" borderId="0" xfId="49" applyNumberFormat="1" applyAlignment="1">
      <alignment horizontal="left"/>
    </xf>
    <xf numFmtId="4" fontId="1" fillId="0" borderId="0" xfId="49" applyNumberFormat="1"/>
    <xf numFmtId="0" fontId="5" fillId="51" borderId="151" xfId="0" applyFont="1" applyFill="1" applyBorder="1" applyAlignment="1" applyProtection="1">
      <alignment horizontal="left"/>
      <protection locked="0"/>
    </xf>
    <xf numFmtId="0" fontId="5" fillId="51" borderId="152" xfId="0" applyFont="1" applyFill="1" applyBorder="1" applyAlignment="1" applyProtection="1">
      <protection locked="0"/>
    </xf>
    <xf numFmtId="0" fontId="5" fillId="51" borderId="152" xfId="0" quotePrefix="1" applyFont="1" applyFill="1" applyBorder="1" applyAlignment="1" applyProtection="1">
      <protection locked="0"/>
    </xf>
    <xf numFmtId="0" fontId="5" fillId="51" borderId="152" xfId="0" applyFont="1" applyFill="1" applyBorder="1" applyAlignment="1" applyProtection="1">
      <alignment horizontal="center"/>
      <protection locked="0"/>
    </xf>
    <xf numFmtId="0" fontId="5" fillId="51" borderId="153" xfId="0" applyNumberFormat="1" applyFont="1" applyFill="1" applyBorder="1" applyAlignment="1" applyProtection="1">
      <alignment horizontal="center"/>
      <protection locked="0"/>
    </xf>
    <xf numFmtId="0" fontId="10" fillId="0" borderId="151" xfId="0" applyFont="1" applyBorder="1" applyAlignment="1" applyProtection="1">
      <alignment horizontal="center"/>
      <protection locked="0"/>
    </xf>
    <xf numFmtId="0" fontId="10" fillId="0" borderId="15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5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/>
    <xf numFmtId="0" fontId="4" fillId="28" borderId="151" xfId="0" applyFont="1" applyFill="1" applyBorder="1" applyAlignment="1" applyProtection="1">
      <protection locked="0"/>
    </xf>
    <xf numFmtId="0" fontId="4" fillId="28" borderId="152" xfId="0" applyFont="1" applyFill="1" applyBorder="1" applyAlignment="1" applyProtection="1">
      <protection locked="0"/>
    </xf>
    <xf numFmtId="0" fontId="2" fillId="0" borderId="151" xfId="0" applyFont="1" applyBorder="1" applyAlignment="1" applyProtection="1">
      <protection locked="0"/>
    </xf>
    <xf numFmtId="0" fontId="2" fillId="0" borderId="152" xfId="0" applyFont="1" applyBorder="1" applyAlignment="1" applyProtection="1">
      <protection locked="0"/>
    </xf>
    <xf numFmtId="0" fontId="2" fillId="0" borderId="153" xfId="0" applyFont="1" applyBorder="1" applyAlignment="1" applyProtection="1">
      <protection locked="0"/>
    </xf>
    <xf numFmtId="0" fontId="10" fillId="0" borderId="152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6" fillId="24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172" fontId="22" fillId="57" borderId="161" xfId="36" applyNumberFormat="1" applyFont="1" applyFill="1" applyBorder="1" applyAlignment="1">
      <alignment horizontal="center"/>
    </xf>
    <xf numFmtId="0" fontId="22" fillId="57" borderId="161" xfId="50" applyFont="1" applyFill="1" applyBorder="1" applyAlignment="1">
      <alignment horizontal="center"/>
    </xf>
    <xf numFmtId="14" fontId="22" fillId="57" borderId="161" xfId="50" applyNumberFormat="1" applyFont="1" applyFill="1" applyBorder="1" applyAlignment="1">
      <alignment horizontal="center"/>
    </xf>
    <xf numFmtId="43" fontId="22" fillId="57" borderId="161" xfId="36" applyNumberFormat="1" applyFont="1" applyFill="1" applyBorder="1" applyAlignment="1">
      <alignment horizontal="center"/>
    </xf>
    <xf numFmtId="0" fontId="1" fillId="0" borderId="0" xfId="49" applyNumberFormat="1" applyAlignment="1">
      <alignment horizontal="left"/>
    </xf>
    <xf numFmtId="0" fontId="6" fillId="24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62" fillId="0" borderId="0" xfId="51" applyFont="1"/>
    <xf numFmtId="0" fontId="2" fillId="0" borderId="0" xfId="51"/>
    <xf numFmtId="173" fontId="2" fillId="0" borderId="0" xfId="36" applyNumberFormat="1"/>
    <xf numFmtId="0" fontId="64" fillId="0" borderId="0" xfId="51" applyFont="1" applyAlignment="1">
      <alignment horizontal="left"/>
    </xf>
    <xf numFmtId="0" fontId="64" fillId="0" borderId="0" xfId="51" applyFont="1" applyAlignment="1">
      <alignment horizontal="center"/>
    </xf>
    <xf numFmtId="0" fontId="65" fillId="0" borderId="0" xfId="51" applyFont="1"/>
    <xf numFmtId="173" fontId="65" fillId="0" borderId="0" xfId="36" applyNumberFormat="1" applyFont="1"/>
    <xf numFmtId="0" fontId="65" fillId="0" borderId="0" xfId="51" applyFont="1" applyAlignment="1">
      <alignment horizontal="center"/>
    </xf>
    <xf numFmtId="0" fontId="66" fillId="0" borderId="0" xfId="51" applyFont="1" applyAlignment="1">
      <alignment horizontal="left"/>
    </xf>
    <xf numFmtId="0" fontId="66" fillId="0" borderId="0" xfId="51" applyFont="1" applyAlignment="1">
      <alignment horizontal="center"/>
    </xf>
    <xf numFmtId="0" fontId="67" fillId="0" borderId="0" xfId="51" applyFont="1" applyAlignment="1">
      <alignment horizontal="center"/>
    </xf>
    <xf numFmtId="0" fontId="68" fillId="0" borderId="0" xfId="51" applyFont="1" applyFill="1" applyBorder="1"/>
    <xf numFmtId="0" fontId="69" fillId="0" borderId="0" xfId="51" applyFont="1"/>
    <xf numFmtId="0" fontId="70" fillId="0" borderId="0" xfId="51" applyFont="1"/>
    <xf numFmtId="173" fontId="70" fillId="0" borderId="0" xfId="36" applyNumberFormat="1" applyFont="1"/>
    <xf numFmtId="0" fontId="68" fillId="0" borderId="0" xfId="51" applyFont="1" applyAlignment="1">
      <alignment horizontal="center"/>
    </xf>
    <xf numFmtId="0" fontId="3" fillId="0" borderId="0" xfId="51" applyFont="1"/>
    <xf numFmtId="0" fontId="71" fillId="0" borderId="0" xfId="51" applyFont="1"/>
    <xf numFmtId="0" fontId="72" fillId="0" borderId="0" xfId="51" applyFont="1"/>
    <xf numFmtId="0" fontId="73" fillId="0" borderId="0" xfId="51" applyFont="1"/>
    <xf numFmtId="0" fontId="74" fillId="0" borderId="0" xfId="52" applyFont="1" applyAlignment="1">
      <alignment horizontal="left"/>
    </xf>
    <xf numFmtId="0" fontId="75" fillId="0" borderId="0" xfId="51" applyFont="1"/>
    <xf numFmtId="173" fontId="76" fillId="0" borderId="0" xfId="36" applyNumberFormat="1" applyFont="1"/>
    <xf numFmtId="0" fontId="75" fillId="0" borderId="0" xfId="51" applyFont="1" applyAlignment="1">
      <alignment horizontal="center"/>
    </xf>
    <xf numFmtId="0" fontId="71" fillId="0" borderId="0" xfId="51" applyFont="1" applyBorder="1"/>
    <xf numFmtId="0" fontId="2" fillId="0" borderId="0" xfId="51" applyAlignment="1">
      <alignment horizontal="center"/>
    </xf>
    <xf numFmtId="49" fontId="72" fillId="0" borderId="0" xfId="51" applyNumberFormat="1" applyFont="1"/>
    <xf numFmtId="0" fontId="75" fillId="0" borderId="0" xfId="52" applyFont="1" applyAlignment="1">
      <alignment horizontal="right"/>
    </xf>
    <xf numFmtId="4" fontId="75" fillId="0" borderId="0" xfId="51" applyNumberFormat="1" applyFont="1" applyBorder="1" applyAlignment="1">
      <alignment horizontal="center"/>
    </xf>
    <xf numFmtId="0" fontId="73" fillId="0" borderId="0" xfId="51" applyFont="1" applyBorder="1"/>
    <xf numFmtId="0" fontId="77" fillId="0" borderId="0" xfId="52" applyFont="1" applyAlignment="1">
      <alignment horizontal="center"/>
    </xf>
    <xf numFmtId="0" fontId="77" fillId="0" borderId="0" xfId="52" applyFont="1" applyAlignment="1">
      <alignment horizontal="right"/>
    </xf>
    <xf numFmtId="0" fontId="78" fillId="0" borderId="0" xfId="52" applyFont="1"/>
    <xf numFmtId="0" fontId="79" fillId="0" borderId="0" xfId="52" applyFont="1" applyAlignment="1">
      <alignment horizontal="center"/>
    </xf>
    <xf numFmtId="0" fontId="80" fillId="0" borderId="0" xfId="51" applyFont="1" applyBorder="1"/>
    <xf numFmtId="173" fontId="80" fillId="0" borderId="0" xfId="36" applyNumberFormat="1" applyFont="1" applyBorder="1"/>
    <xf numFmtId="0" fontId="80" fillId="0" borderId="0" xfId="51" applyFont="1" applyBorder="1" applyAlignment="1">
      <alignment horizontal="center"/>
    </xf>
    <xf numFmtId="0" fontId="82" fillId="0" borderId="0" xfId="51" applyFont="1"/>
    <xf numFmtId="0" fontId="82" fillId="0" borderId="0" xfId="51" applyFont="1" applyAlignment="1">
      <alignment horizontal="center"/>
    </xf>
    <xf numFmtId="0" fontId="81" fillId="24" borderId="177" xfId="51" applyFont="1" applyFill="1" applyBorder="1" applyAlignment="1">
      <alignment horizontal="center" vertical="center"/>
    </xf>
    <xf numFmtId="0" fontId="82" fillId="0" borderId="24" xfId="52" applyFont="1" applyFill="1" applyBorder="1" applyAlignment="1">
      <alignment horizontal="left" vertical="center" shrinkToFit="1"/>
    </xf>
    <xf numFmtId="0" fontId="82" fillId="0" borderId="193" xfId="52" applyFont="1" applyFill="1" applyBorder="1" applyAlignment="1">
      <alignment horizontal="left" vertical="center" shrinkToFit="1"/>
    </xf>
    <xf numFmtId="0" fontId="82" fillId="45" borderId="24" xfId="52" applyFont="1" applyFill="1" applyBorder="1" applyAlignment="1">
      <alignment horizontal="left" vertical="center" shrinkToFit="1"/>
    </xf>
    <xf numFmtId="0" fontId="82" fillId="45" borderId="177" xfId="52" applyFont="1" applyFill="1" applyBorder="1" applyAlignment="1">
      <alignment horizontal="left" vertical="center" shrinkToFit="1"/>
    </xf>
    <xf numFmtId="0" fontId="82" fillId="0" borderId="0" xfId="52" applyFont="1" applyFill="1" applyBorder="1" applyAlignment="1">
      <alignment horizontal="left" vertical="center"/>
    </xf>
    <xf numFmtId="4" fontId="84" fillId="0" borderId="167" xfId="31" applyNumberFormat="1" applyFont="1" applyBorder="1" applyAlignment="1">
      <alignment horizontal="center" vertical="center" wrapText="1"/>
    </xf>
    <xf numFmtId="40" fontId="82" fillId="0" borderId="0" xfId="36" applyNumberFormat="1" applyFont="1" applyBorder="1" applyAlignment="1">
      <alignment horizontal="center" vertical="center" wrapText="1"/>
    </xf>
    <xf numFmtId="4" fontId="84" fillId="0" borderId="0" xfId="31" applyNumberFormat="1" applyFont="1" applyBorder="1" applyAlignment="1">
      <alignment horizontal="center" vertical="center"/>
    </xf>
    <xf numFmtId="165" fontId="82" fillId="0" borderId="0" xfId="36" applyFont="1" applyBorder="1" applyAlignment="1">
      <alignment horizontal="center" vertical="center"/>
    </xf>
    <xf numFmtId="178" fontId="82" fillId="0" borderId="0" xfId="36" applyNumberFormat="1" applyFont="1" applyBorder="1" applyAlignment="1">
      <alignment horizontal="center" vertical="center"/>
    </xf>
    <xf numFmtId="0" fontId="2" fillId="0" borderId="35" xfId="51" applyBorder="1"/>
    <xf numFmtId="0" fontId="2" fillId="0" borderId="0" xfId="51" applyFont="1"/>
    <xf numFmtId="0" fontId="87" fillId="0" borderId="0" xfId="51" applyFont="1"/>
    <xf numFmtId="0" fontId="88" fillId="0" borderId="0" xfId="51" applyFont="1"/>
    <xf numFmtId="0" fontId="75" fillId="0" borderId="0" xfId="51" applyFont="1" applyAlignment="1">
      <alignment horizontal="right"/>
    </xf>
    <xf numFmtId="0" fontId="87" fillId="0" borderId="0" xfId="51" applyFont="1" applyBorder="1"/>
    <xf numFmtId="0" fontId="75" fillId="0" borderId="0" xfId="51" applyFont="1" applyBorder="1" applyAlignment="1">
      <alignment horizontal="left"/>
    </xf>
    <xf numFmtId="0" fontId="75" fillId="0" borderId="0" xfId="52" applyFont="1" applyAlignment="1"/>
    <xf numFmtId="0" fontId="43" fillId="0" borderId="0" xfId="51" applyFont="1" applyAlignment="1"/>
    <xf numFmtId="0" fontId="83" fillId="0" borderId="218" xfId="52" applyFont="1" applyFill="1" applyBorder="1" applyAlignment="1">
      <alignment horizontal="left" vertical="center" shrinkToFit="1"/>
    </xf>
    <xf numFmtId="0" fontId="83" fillId="0" borderId="219" xfId="52" applyFont="1" applyFill="1" applyBorder="1" applyAlignment="1">
      <alignment horizontal="left" vertical="center" shrinkToFit="1"/>
    </xf>
    <xf numFmtId="39" fontId="82" fillId="0" borderId="0" xfId="51" applyNumberFormat="1" applyFont="1"/>
    <xf numFmtId="0" fontId="82" fillId="0" borderId="168" xfId="52" applyFont="1" applyFill="1" applyBorder="1" applyAlignment="1">
      <alignment horizontal="left" vertical="center"/>
    </xf>
    <xf numFmtId="0" fontId="82" fillId="0" borderId="224" xfId="52" applyFont="1" applyFill="1" applyBorder="1" applyAlignment="1">
      <alignment horizontal="left" vertical="center"/>
    </xf>
    <xf numFmtId="40" fontId="82" fillId="0" borderId="167" xfId="36" applyNumberFormat="1" applyFont="1" applyBorder="1" applyAlignment="1">
      <alignment horizontal="center" vertical="center" wrapText="1"/>
    </xf>
    <xf numFmtId="4" fontId="84" fillId="0" borderId="167" xfId="31" applyNumberFormat="1" applyFont="1" applyBorder="1" applyAlignment="1">
      <alignment horizontal="center" vertical="center"/>
    </xf>
    <xf numFmtId="165" fontId="82" fillId="0" borderId="167" xfId="36" applyFont="1" applyBorder="1" applyAlignment="1">
      <alignment horizontal="center" vertical="center"/>
    </xf>
    <xf numFmtId="178" fontId="82" fillId="0" borderId="167" xfId="36" applyNumberFormat="1" applyFont="1" applyBorder="1" applyAlignment="1">
      <alignment horizontal="center" vertical="center"/>
    </xf>
    <xf numFmtId="4" fontId="82" fillId="0" borderId="167" xfId="31" applyNumberFormat="1" applyFont="1" applyBorder="1" applyAlignment="1">
      <alignment horizontal="center" vertical="center" wrapText="1"/>
    </xf>
    <xf numFmtId="0" fontId="92" fillId="0" borderId="228" xfId="51" applyFont="1" applyBorder="1" applyAlignment="1">
      <alignment horizontal="center"/>
    </xf>
    <xf numFmtId="0" fontId="93" fillId="0" borderId="0" xfId="51" applyFont="1" applyBorder="1"/>
    <xf numFmtId="4" fontId="91" fillId="0" borderId="0" xfId="31" applyNumberFormat="1" applyFont="1" applyBorder="1" applyAlignment="1">
      <alignment horizontal="center"/>
    </xf>
    <xf numFmtId="0" fontId="82" fillId="0" borderId="0" xfId="51" applyFont="1" applyBorder="1"/>
    <xf numFmtId="4" fontId="92" fillId="0" borderId="228" xfId="31" applyNumberFormat="1" applyFont="1" applyFill="1" applyBorder="1" applyAlignment="1">
      <alignment horizontal="center"/>
    </xf>
    <xf numFmtId="0" fontId="93" fillId="0" borderId="230" xfId="51" applyFont="1" applyBorder="1" applyAlignment="1">
      <alignment horizontal="center"/>
    </xf>
    <xf numFmtId="4" fontId="92" fillId="0" borderId="230" xfId="31" applyNumberFormat="1" applyFont="1" applyFill="1" applyBorder="1" applyAlignment="1">
      <alignment horizontal="center"/>
    </xf>
    <xf numFmtId="0" fontId="93" fillId="0" borderId="234" xfId="51" applyFont="1" applyBorder="1" applyAlignment="1">
      <alignment horizontal="center"/>
    </xf>
    <xf numFmtId="0" fontId="82" fillId="0" borderId="0" xfId="51" applyFont="1" applyBorder="1" applyAlignment="1">
      <alignment horizontal="center"/>
    </xf>
    <xf numFmtId="179" fontId="92" fillId="0" borderId="230" xfId="53" applyNumberFormat="1" applyFont="1" applyFill="1" applyBorder="1" applyAlignment="1">
      <alignment horizontal="center"/>
    </xf>
    <xf numFmtId="39" fontId="92" fillId="0" borderId="230" xfId="36" applyNumberFormat="1" applyFont="1" applyFill="1" applyBorder="1" applyAlignment="1">
      <alignment horizontal="center"/>
    </xf>
    <xf numFmtId="4" fontId="92" fillId="0" borderId="234" xfId="51" applyNumberFormat="1" applyFont="1" applyFill="1" applyBorder="1" applyAlignment="1">
      <alignment horizontal="center"/>
    </xf>
    <xf numFmtId="0" fontId="93" fillId="0" borderId="225" xfId="51" applyFont="1" applyBorder="1" applyAlignment="1">
      <alignment horizontal="right"/>
    </xf>
    <xf numFmtId="0" fontId="93" fillId="0" borderId="226" xfId="51" applyFont="1" applyBorder="1" applyAlignment="1">
      <alignment horizontal="right"/>
    </xf>
    <xf numFmtId="0" fontId="93" fillId="0" borderId="229" xfId="51" applyFont="1" applyBorder="1" applyAlignment="1">
      <alignment horizontal="right"/>
    </xf>
    <xf numFmtId="0" fontId="93" fillId="0" borderId="152" xfId="51" applyFont="1" applyBorder="1" applyAlignment="1">
      <alignment horizontal="right"/>
    </xf>
    <xf numFmtId="0" fontId="91" fillId="0" borderId="238" xfId="51" applyFont="1" applyBorder="1" applyAlignment="1">
      <alignment horizontal="right"/>
    </xf>
    <xf numFmtId="0" fontId="91" fillId="0" borderId="232" xfId="51" applyFont="1" applyBorder="1" applyAlignment="1">
      <alignment horizontal="right"/>
    </xf>
    <xf numFmtId="0" fontId="94" fillId="24" borderId="157" xfId="51" applyFont="1" applyFill="1" applyBorder="1" applyAlignment="1" applyProtection="1">
      <alignment horizontal="center" vertical="center"/>
      <protection hidden="1"/>
    </xf>
    <xf numFmtId="0" fontId="2" fillId="0" borderId="0" xfId="51" applyProtection="1">
      <protection hidden="1"/>
    </xf>
    <xf numFmtId="0" fontId="94" fillId="24" borderId="186" xfId="51" applyFont="1" applyFill="1" applyBorder="1" applyAlignment="1" applyProtection="1">
      <alignment horizontal="center" vertical="center"/>
      <protection hidden="1"/>
    </xf>
    <xf numFmtId="0" fontId="94" fillId="24" borderId="150" xfId="51" applyFont="1" applyFill="1" applyBorder="1" applyAlignment="1" applyProtection="1">
      <alignment horizontal="center"/>
      <protection hidden="1"/>
    </xf>
    <xf numFmtId="0" fontId="95" fillId="0" borderId="0" xfId="51" applyFont="1" applyFill="1" applyBorder="1" applyAlignment="1" applyProtection="1">
      <protection hidden="1"/>
    </xf>
    <xf numFmtId="0" fontId="2" fillId="0" borderId="0" xfId="51" applyFill="1" applyBorder="1" applyAlignment="1" applyProtection="1">
      <alignment horizontal="center"/>
      <protection locked="0" hidden="1"/>
    </xf>
    <xf numFmtId="0" fontId="2" fillId="0" borderId="0" xfId="51" applyFill="1" applyBorder="1" applyAlignment="1" applyProtection="1">
      <alignment horizontal="center"/>
      <protection hidden="1"/>
    </xf>
    <xf numFmtId="0" fontId="94" fillId="0" borderId="0" xfId="51" applyFont="1" applyProtection="1">
      <protection hidden="1"/>
    </xf>
    <xf numFmtId="0" fontId="2" fillId="0" borderId="0" xfId="51" applyFill="1" applyBorder="1" applyProtection="1">
      <protection hidden="1"/>
    </xf>
    <xf numFmtId="180" fontId="2" fillId="0" borderId="150" xfId="51" applyNumberFormat="1" applyFont="1" applyFill="1" applyBorder="1" applyAlignment="1" applyProtection="1">
      <alignment horizontal="center"/>
      <protection hidden="1"/>
    </xf>
    <xf numFmtId="180" fontId="2" fillId="0" borderId="0" xfId="51" applyNumberFormat="1" applyAlignment="1" applyProtection="1">
      <alignment horizontal="center"/>
      <protection hidden="1"/>
    </xf>
    <xf numFmtId="180" fontId="2" fillId="0" borderId="150" xfId="51" applyNumberFormat="1" applyFill="1" applyBorder="1" applyAlignment="1" applyProtection="1">
      <alignment horizontal="center"/>
      <protection hidden="1"/>
    </xf>
    <xf numFmtId="180" fontId="3" fillId="0" borderId="0" xfId="51" applyNumberFormat="1" applyFont="1" applyFill="1" applyBorder="1" applyAlignment="1" applyProtection="1">
      <alignment horizontal="center"/>
      <protection hidden="1"/>
    </xf>
    <xf numFmtId="0" fontId="95" fillId="0" borderId="0" xfId="51" applyFont="1" applyFill="1" applyBorder="1" applyAlignment="1" applyProtection="1">
      <alignment horizontal="center"/>
      <protection hidden="1"/>
    </xf>
    <xf numFmtId="0" fontId="2" fillId="0" borderId="0" xfId="51" applyFont="1" applyFill="1" applyBorder="1" applyAlignment="1" applyProtection="1">
      <alignment horizontal="left" shrinkToFit="1"/>
      <protection hidden="1"/>
    </xf>
    <xf numFmtId="37" fontId="2" fillId="0" borderId="0" xfId="51" applyNumberFormat="1" applyFill="1" applyBorder="1" applyAlignment="1" applyProtection="1">
      <alignment horizontal="center"/>
      <protection locked="0" hidden="1"/>
    </xf>
    <xf numFmtId="180" fontId="2" fillId="0" borderId="0" xfId="51" applyNumberFormat="1" applyFont="1" applyFill="1" applyBorder="1" applyAlignment="1" applyProtection="1">
      <alignment horizontal="left"/>
      <protection hidden="1"/>
    </xf>
    <xf numFmtId="0" fontId="2" fillId="0" borderId="0" xfId="51" applyFont="1" applyAlignment="1" applyProtection="1">
      <alignment horizontal="left"/>
      <protection hidden="1"/>
    </xf>
    <xf numFmtId="0" fontId="95" fillId="0" borderId="241" xfId="51" applyFont="1" applyBorder="1" applyAlignment="1" applyProtection="1">
      <alignment horizontal="right"/>
      <protection hidden="1"/>
    </xf>
    <xf numFmtId="0" fontId="95" fillId="0" borderId="140" xfId="51" applyFont="1" applyBorder="1" applyAlignment="1" applyProtection="1">
      <protection hidden="1"/>
    </xf>
    <xf numFmtId="0" fontId="95" fillId="0" borderId="0" xfId="51" applyFont="1" applyBorder="1" applyAlignment="1" applyProtection="1">
      <protection hidden="1"/>
    </xf>
    <xf numFmtId="0" fontId="2" fillId="0" borderId="0" xfId="51" applyFont="1" applyBorder="1" applyAlignment="1" applyProtection="1">
      <alignment horizontal="left"/>
      <protection hidden="1"/>
    </xf>
    <xf numFmtId="1" fontId="3" fillId="0" borderId="242" xfId="51" applyNumberFormat="1" applyFont="1" applyFill="1" applyBorder="1" applyAlignment="1" applyProtection="1">
      <alignment horizontal="center"/>
      <protection hidden="1"/>
    </xf>
    <xf numFmtId="49" fontId="5" fillId="0" borderId="243" xfId="51" applyNumberFormat="1" applyFont="1" applyBorder="1" applyAlignment="1" applyProtection="1">
      <protection hidden="1"/>
    </xf>
    <xf numFmtId="0" fontId="5" fillId="0" borderId="0" xfId="51" applyFont="1" applyBorder="1" applyAlignment="1" applyProtection="1">
      <protection hidden="1"/>
    </xf>
    <xf numFmtId="0" fontId="94" fillId="24" borderId="12" xfId="51" applyFont="1" applyFill="1" applyBorder="1" applyAlignment="1" applyProtection="1">
      <alignment horizontal="center"/>
      <protection hidden="1"/>
    </xf>
    <xf numFmtId="180" fontId="2" fillId="0" borderId="12" xfId="51" applyNumberFormat="1" applyFill="1" applyBorder="1" applyAlignment="1" applyProtection="1">
      <alignment horizontal="center"/>
      <protection hidden="1"/>
    </xf>
    <xf numFmtId="169" fontId="3" fillId="0" borderId="242" xfId="51" applyNumberFormat="1" applyFont="1" applyFill="1" applyBorder="1" applyAlignment="1" applyProtection="1">
      <alignment horizontal="center"/>
      <protection hidden="1"/>
    </xf>
    <xf numFmtId="180" fontId="2" fillId="0" borderId="0" xfId="51" applyNumberFormat="1" applyProtection="1">
      <protection hidden="1"/>
    </xf>
    <xf numFmtId="1" fontId="3" fillId="0" borderId="244" xfId="51" applyNumberFormat="1" applyFont="1" applyFill="1" applyBorder="1" applyAlignment="1" applyProtection="1">
      <alignment horizontal="center"/>
      <protection hidden="1"/>
    </xf>
    <xf numFmtId="49" fontId="5" fillId="0" borderId="147" xfId="51" applyNumberFormat="1" applyFont="1" applyBorder="1" applyAlignment="1" applyProtection="1">
      <protection hidden="1"/>
    </xf>
    <xf numFmtId="0" fontId="95" fillId="0" borderId="0" xfId="51" applyFont="1" applyBorder="1" applyAlignment="1" applyProtection="1">
      <alignment vertical="center"/>
      <protection hidden="1"/>
    </xf>
    <xf numFmtId="0" fontId="95" fillId="0" borderId="0" xfId="51" applyFont="1" applyBorder="1" applyProtection="1">
      <protection hidden="1"/>
    </xf>
    <xf numFmtId="0" fontId="2" fillId="0" borderId="0" xfId="51" applyBorder="1" applyAlignment="1" applyProtection="1">
      <protection hidden="1"/>
    </xf>
    <xf numFmtId="0" fontId="2" fillId="0" borderId="0" xfId="51" applyBorder="1" applyProtection="1">
      <protection hidden="1"/>
    </xf>
    <xf numFmtId="0" fontId="96" fillId="0" borderId="0" xfId="54" applyFont="1" applyBorder="1" applyAlignment="1">
      <alignment vertical="center"/>
    </xf>
    <xf numFmtId="0" fontId="5" fillId="0" borderId="0" xfId="54" applyFont="1" applyBorder="1"/>
    <xf numFmtId="0" fontId="5" fillId="0" borderId="0" xfId="54" applyFont="1" applyBorder="1" applyProtection="1">
      <protection locked="0"/>
    </xf>
    <xf numFmtId="0" fontId="49" fillId="58" borderId="0" xfId="54" applyFont="1" applyFill="1" applyBorder="1" applyAlignment="1" applyProtection="1">
      <alignment horizontal="center" vertical="center" wrapText="1"/>
    </xf>
    <xf numFmtId="0" fontId="49" fillId="0" borderId="0" xfId="54" applyFont="1" applyBorder="1" applyAlignment="1" applyProtection="1">
      <alignment horizontal="right" textRotation="90"/>
    </xf>
    <xf numFmtId="0" fontId="5" fillId="0" borderId="0" xfId="54" applyFont="1" applyFill="1" applyBorder="1"/>
    <xf numFmtId="0" fontId="5" fillId="58" borderId="0" xfId="54" applyFont="1" applyFill="1" applyBorder="1" applyProtection="1"/>
    <xf numFmtId="2" fontId="49" fillId="58" borderId="0" xfId="54" applyNumberFormat="1" applyFont="1" applyFill="1" applyBorder="1" applyProtection="1"/>
    <xf numFmtId="180" fontId="5" fillId="58" borderId="0" xfId="54" applyNumberFormat="1" applyFont="1" applyFill="1" applyBorder="1" applyAlignment="1" applyProtection="1">
      <alignment horizontal="right"/>
    </xf>
    <xf numFmtId="180" fontId="5" fillId="0" borderId="0" xfId="54" applyNumberFormat="1" applyFont="1" applyFill="1" applyBorder="1" applyAlignment="1" applyProtection="1">
      <alignment horizontal="right"/>
    </xf>
    <xf numFmtId="0" fontId="5" fillId="0" borderId="0" xfId="54" applyFont="1" applyFill="1" applyBorder="1" applyAlignment="1">
      <alignment horizontal="center"/>
    </xf>
    <xf numFmtId="0" fontId="49" fillId="58" borderId="0" xfId="54" applyFont="1" applyFill="1" applyBorder="1" applyProtection="1"/>
    <xf numFmtId="0" fontId="5" fillId="0" borderId="0" xfId="54" applyFont="1" applyFill="1" applyBorder="1" applyAlignment="1">
      <alignment horizontal="right"/>
    </xf>
    <xf numFmtId="0" fontId="5" fillId="0" borderId="0" xfId="54" quotePrefix="1" applyFont="1" applyBorder="1"/>
    <xf numFmtId="0" fontId="97" fillId="0" borderId="0" xfId="54" applyFont="1" applyBorder="1"/>
    <xf numFmtId="0" fontId="5" fillId="0" borderId="0" xfId="54" applyFont="1" applyFill="1" applyBorder="1" applyAlignment="1" applyProtection="1">
      <alignment horizontal="center"/>
    </xf>
    <xf numFmtId="0" fontId="5" fillId="58" borderId="0" xfId="54" applyFont="1" applyFill="1" applyBorder="1"/>
    <xf numFmtId="2" fontId="5" fillId="58" borderId="0" xfId="54" applyNumberFormat="1" applyFont="1" applyFill="1" applyBorder="1" applyAlignment="1">
      <alignment horizontal="center"/>
    </xf>
    <xf numFmtId="0" fontId="5" fillId="58" borderId="0" xfId="54" applyFont="1" applyFill="1" applyBorder="1" applyAlignment="1">
      <alignment horizontal="center"/>
    </xf>
    <xf numFmtId="0" fontId="5" fillId="0" borderId="0" xfId="54" applyFont="1" applyBorder="1" applyAlignment="1">
      <alignment horizontal="center"/>
    </xf>
    <xf numFmtId="2" fontId="5" fillId="0" borderId="0" xfId="54" applyNumberFormat="1" applyFont="1" applyBorder="1" applyAlignment="1">
      <alignment horizontal="center"/>
    </xf>
    <xf numFmtId="180" fontId="5" fillId="58" borderId="0" xfId="54" applyNumberFormat="1" applyFont="1" applyFill="1" applyBorder="1" applyAlignment="1">
      <alignment horizontal="center"/>
    </xf>
    <xf numFmtId="180" fontId="5" fillId="0" borderId="0" xfId="54" applyNumberFormat="1" applyFont="1" applyBorder="1" applyAlignment="1">
      <alignment horizontal="center"/>
    </xf>
    <xf numFmtId="0" fontId="6" fillId="0" borderId="0" xfId="54" applyFont="1" applyBorder="1" applyAlignment="1">
      <alignment horizontal="left"/>
    </xf>
    <xf numFmtId="0" fontId="5" fillId="0" borderId="0" xfId="54" applyFont="1" applyBorder="1" applyProtection="1"/>
    <xf numFmtId="0" fontId="49" fillId="0" borderId="0" xfId="54" applyFont="1" applyBorder="1" applyAlignment="1">
      <alignment horizontal="center"/>
    </xf>
    <xf numFmtId="0" fontId="3" fillId="0" borderId="0" xfId="54" applyFont="1" applyBorder="1" applyAlignment="1">
      <alignment horizontal="center"/>
    </xf>
    <xf numFmtId="0" fontId="49" fillId="0" borderId="245" xfId="54" applyFont="1" applyBorder="1" applyAlignment="1">
      <alignment horizontal="left" vertical="center" wrapText="1"/>
    </xf>
    <xf numFmtId="0" fontId="49" fillId="0" borderId="246" xfId="54" applyFont="1" applyBorder="1" applyAlignment="1">
      <alignment horizontal="left" vertical="center" wrapText="1"/>
    </xf>
    <xf numFmtId="0" fontId="49" fillId="0" borderId="246" xfId="54" applyFont="1" applyBorder="1" applyAlignment="1">
      <alignment horizontal="center"/>
    </xf>
    <xf numFmtId="0" fontId="49" fillId="0" borderId="247" xfId="54" applyFont="1" applyBorder="1" applyAlignment="1">
      <alignment horizontal="center"/>
    </xf>
    <xf numFmtId="0" fontId="49" fillId="0" borderId="248" xfId="54" applyFont="1" applyBorder="1" applyAlignment="1">
      <alignment horizontal="left" vertical="center" wrapText="1"/>
    </xf>
    <xf numFmtId="0" fontId="49" fillId="0" borderId="249" xfId="54" applyFont="1" applyBorder="1" applyAlignment="1">
      <alignment horizontal="left" vertical="center" wrapText="1"/>
    </xf>
    <xf numFmtId="0" fontId="49" fillId="0" borderId="249" xfId="54" applyFont="1" applyBorder="1" applyAlignment="1">
      <alignment horizontal="center"/>
    </xf>
    <xf numFmtId="0" fontId="49" fillId="0" borderId="250" xfId="54" applyFont="1" applyBorder="1" applyAlignment="1">
      <alignment horizontal="center"/>
    </xf>
    <xf numFmtId="0" fontId="49" fillId="0" borderId="245" xfId="54" applyFont="1" applyBorder="1" applyAlignment="1">
      <alignment horizontal="center" vertical="center" wrapText="1"/>
    </xf>
    <xf numFmtId="0" fontId="5" fillId="0" borderId="246" xfId="54" applyFont="1" applyBorder="1" applyAlignment="1">
      <alignment horizontal="left"/>
    </xf>
    <xf numFmtId="180" fontId="5" fillId="0" borderId="246" xfId="54" applyNumberFormat="1" applyFont="1" applyBorder="1"/>
    <xf numFmtId="180" fontId="49" fillId="0" borderId="246" xfId="54" applyNumberFormat="1" applyFont="1" applyBorder="1"/>
    <xf numFmtId="180" fontId="5" fillId="0" borderId="247" xfId="54" applyNumberFormat="1" applyFont="1" applyBorder="1"/>
    <xf numFmtId="0" fontId="49" fillId="0" borderId="251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left" vertical="center"/>
    </xf>
    <xf numFmtId="180" fontId="5" fillId="0" borderId="0" xfId="54" applyNumberFormat="1" applyFont="1" applyBorder="1"/>
    <xf numFmtId="180" fontId="49" fillId="0" borderId="0" xfId="54" applyNumberFormat="1" applyFont="1" applyBorder="1"/>
    <xf numFmtId="180" fontId="5" fillId="0" borderId="46" xfId="54" applyNumberFormat="1" applyFont="1" applyBorder="1"/>
    <xf numFmtId="0" fontId="5" fillId="0" borderId="0" xfId="54" applyFont="1" applyBorder="1" applyAlignment="1">
      <alignment horizontal="left"/>
    </xf>
    <xf numFmtId="0" fontId="49" fillId="0" borderId="248" xfId="54" applyFont="1" applyBorder="1" applyAlignment="1">
      <alignment horizontal="center" vertical="center" wrapText="1"/>
    </xf>
    <xf numFmtId="0" fontId="5" fillId="0" borderId="249" xfId="54" applyFont="1" applyBorder="1" applyAlignment="1">
      <alignment horizontal="left"/>
    </xf>
    <xf numFmtId="180" fontId="5" fillId="0" borderId="249" xfId="54" applyNumberFormat="1" applyFont="1" applyBorder="1" applyAlignment="1">
      <alignment horizontal="left"/>
    </xf>
    <xf numFmtId="180" fontId="49" fillId="0" borderId="249" xfId="54" applyNumberFormat="1" applyFont="1" applyBorder="1" applyAlignment="1">
      <alignment horizontal="left"/>
    </xf>
    <xf numFmtId="180" fontId="5" fillId="0" borderId="250" xfId="54" applyNumberFormat="1" applyFont="1" applyBorder="1" applyAlignment="1">
      <alignment horizontal="left"/>
    </xf>
    <xf numFmtId="0" fontId="5" fillId="0" borderId="0" xfId="54" applyFont="1" applyBorder="1" applyAlignment="1">
      <alignment vertical="center"/>
    </xf>
    <xf numFmtId="0" fontId="5" fillId="0" borderId="46" xfId="54" applyFont="1" applyBorder="1" applyAlignment="1">
      <alignment horizontal="left"/>
    </xf>
    <xf numFmtId="0" fontId="2" fillId="0" borderId="248" xfId="54" applyBorder="1"/>
    <xf numFmtId="0" fontId="2" fillId="0" borderId="249" xfId="54" applyBorder="1"/>
    <xf numFmtId="0" fontId="2" fillId="0" borderId="250" xfId="54" applyBorder="1"/>
    <xf numFmtId="0" fontId="5" fillId="0" borderId="246" xfId="54" applyFont="1" applyBorder="1"/>
    <xf numFmtId="0" fontId="2" fillId="0" borderId="0" xfId="54"/>
    <xf numFmtId="0" fontId="5" fillId="0" borderId="249" xfId="54" applyFont="1" applyBorder="1"/>
    <xf numFmtId="180" fontId="5" fillId="0" borderId="249" xfId="54" applyNumberFormat="1" applyFont="1" applyBorder="1"/>
    <xf numFmtId="180" fontId="5" fillId="0" borderId="250" xfId="54" applyNumberFormat="1" applyFont="1" applyBorder="1"/>
    <xf numFmtId="0" fontId="49" fillId="0" borderId="144" xfId="54" applyFont="1" applyBorder="1"/>
    <xf numFmtId="0" fontId="49" fillId="0" borderId="144" xfId="54" applyFont="1" applyFill="1" applyBorder="1"/>
    <xf numFmtId="0" fontId="5" fillId="0" borderId="144" xfId="54" applyFont="1" applyBorder="1"/>
    <xf numFmtId="0" fontId="5" fillId="0" borderId="144" xfId="54" applyFont="1" applyFill="1" applyBorder="1"/>
    <xf numFmtId="0" fontId="98" fillId="0" borderId="0" xfId="54" applyFont="1" applyBorder="1"/>
    <xf numFmtId="0" fontId="2" fillId="0" borderId="0" xfId="54" applyBorder="1"/>
    <xf numFmtId="0" fontId="99" fillId="0" borderId="0" xfId="54" applyFont="1" applyBorder="1"/>
    <xf numFmtId="0" fontId="3" fillId="24" borderId="154" xfId="54" applyFont="1" applyFill="1" applyBorder="1" applyAlignment="1">
      <alignment horizontal="center"/>
    </xf>
    <xf numFmtId="0" fontId="3" fillId="24" borderId="254" xfId="54" applyFont="1" applyFill="1" applyBorder="1"/>
    <xf numFmtId="0" fontId="2" fillId="0" borderId="12" xfId="54" applyBorder="1" applyAlignment="1">
      <alignment horizontal="center"/>
    </xf>
    <xf numFmtId="0" fontId="82" fillId="0" borderId="12" xfId="54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9" fillId="26" borderId="14" xfId="0" applyFont="1" applyFill="1" applyBorder="1" applyAlignment="1" applyProtection="1">
      <alignment horizontal="center"/>
      <protection locked="0" hidden="1"/>
    </xf>
    <xf numFmtId="0" fontId="39" fillId="26" borderId="13" xfId="0" applyFont="1" applyFill="1" applyBorder="1" applyAlignment="1" applyProtection="1">
      <alignment horizontal="center"/>
      <protection locked="0" hidden="1"/>
    </xf>
    <xf numFmtId="0" fontId="3" fillId="0" borderId="11" xfId="0" applyFont="1" applyBorder="1" applyAlignment="1" applyProtection="1">
      <alignment horizontal="center"/>
      <protection locked="0"/>
    </xf>
    <xf numFmtId="4" fontId="8" fillId="0" borderId="11" xfId="0" applyNumberFormat="1" applyFont="1" applyBorder="1" applyAlignment="1" applyProtection="1">
      <alignment horizontal="center"/>
      <protection locked="0"/>
    </xf>
    <xf numFmtId="0" fontId="6" fillId="24" borderId="14" xfId="0" applyFont="1" applyFill="1" applyBorder="1" applyAlignment="1" applyProtection="1">
      <alignment horizontal="center"/>
      <protection locked="0"/>
    </xf>
    <xf numFmtId="0" fontId="6" fillId="24" borderId="30" xfId="0" applyFont="1" applyFill="1" applyBorder="1" applyAlignment="1" applyProtection="1">
      <alignment horizontal="center"/>
      <protection locked="0"/>
    </xf>
    <xf numFmtId="0" fontId="6" fillId="24" borderId="13" xfId="0" applyFon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24" borderId="14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5" fillId="52" borderId="16" xfId="0" applyFont="1" applyFill="1" applyBorder="1" applyAlignment="1" applyProtection="1">
      <alignment horizontal="justify" vertical="center" wrapText="1"/>
      <protection locked="0"/>
    </xf>
    <xf numFmtId="0" fontId="5" fillId="52" borderId="0" xfId="0" applyFont="1" applyFill="1" applyBorder="1" applyAlignment="1" applyProtection="1">
      <alignment horizontal="justify" vertical="center"/>
      <protection locked="0"/>
    </xf>
    <xf numFmtId="0" fontId="5" fillId="52" borderId="17" xfId="0" applyFont="1" applyFill="1" applyBorder="1" applyAlignment="1" applyProtection="1">
      <alignment horizontal="justify" vertical="center"/>
      <protection locked="0"/>
    </xf>
    <xf numFmtId="0" fontId="5" fillId="52" borderId="18" xfId="0" applyFont="1" applyFill="1" applyBorder="1" applyAlignment="1" applyProtection="1">
      <alignment horizontal="justify" vertical="center"/>
      <protection locked="0"/>
    </xf>
    <xf numFmtId="0" fontId="5" fillId="52" borderId="27" xfId="0" applyFont="1" applyFill="1" applyBorder="1" applyAlignment="1" applyProtection="1">
      <alignment horizontal="justify" vertical="center"/>
      <protection locked="0"/>
    </xf>
    <xf numFmtId="0" fontId="5" fillId="52" borderId="29" xfId="0" applyFont="1" applyFill="1" applyBorder="1" applyAlignment="1" applyProtection="1">
      <alignment horizontal="justify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1" fillId="24" borderId="30" xfId="0" applyFont="1" applyFill="1" applyBorder="1" applyAlignment="1" applyProtection="1">
      <alignment horizontal="center"/>
      <protection locked="0"/>
    </xf>
    <xf numFmtId="0" fontId="41" fillId="24" borderId="13" xfId="0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justify" vertical="justify" wrapText="1"/>
      <protection locked="0"/>
    </xf>
    <xf numFmtId="0" fontId="5" fillId="0" borderId="26" xfId="0" applyFont="1" applyBorder="1" applyAlignment="1" applyProtection="1">
      <alignment horizontal="justify" vertical="justify" wrapText="1"/>
      <protection locked="0"/>
    </xf>
    <xf numFmtId="0" fontId="5" fillId="0" borderId="28" xfId="0" applyFont="1" applyBorder="1" applyAlignment="1" applyProtection="1">
      <alignment horizontal="justify" vertical="justify" wrapText="1"/>
      <protection locked="0"/>
    </xf>
    <xf numFmtId="0" fontId="5" fillId="0" borderId="16" xfId="0" applyFont="1" applyBorder="1" applyAlignment="1" applyProtection="1">
      <alignment horizontal="justify" vertical="justify" wrapText="1"/>
      <protection locked="0"/>
    </xf>
    <xf numFmtId="0" fontId="5" fillId="0" borderId="0" xfId="0" applyFont="1" applyBorder="1" applyAlignment="1" applyProtection="1">
      <alignment horizontal="justify" vertical="justify" wrapText="1"/>
      <protection locked="0"/>
    </xf>
    <xf numFmtId="0" fontId="5" fillId="0" borderId="17" xfId="0" applyFont="1" applyBorder="1" applyAlignment="1" applyProtection="1">
      <alignment horizontal="justify" vertical="justify" wrapText="1"/>
      <protection locked="0"/>
    </xf>
    <xf numFmtId="0" fontId="5" fillId="0" borderId="18" xfId="0" applyFont="1" applyBorder="1" applyAlignment="1" applyProtection="1">
      <alignment horizontal="justify" vertical="justify" wrapText="1"/>
      <protection locked="0"/>
    </xf>
    <xf numFmtId="0" fontId="5" fillId="0" borderId="27" xfId="0" applyFont="1" applyBorder="1" applyAlignment="1" applyProtection="1">
      <alignment horizontal="justify" vertical="justify" wrapText="1"/>
      <protection locked="0"/>
    </xf>
    <xf numFmtId="0" fontId="5" fillId="0" borderId="29" xfId="0" applyFont="1" applyBorder="1" applyAlignment="1" applyProtection="1">
      <alignment horizontal="justify" vertical="justify" wrapText="1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1" fillId="25" borderId="14" xfId="0" applyFont="1" applyFill="1" applyBorder="1" applyAlignment="1" applyProtection="1">
      <alignment horizontal="center"/>
      <protection locked="0"/>
    </xf>
    <xf numFmtId="0" fontId="41" fillId="25" borderId="13" xfId="0" applyFont="1" applyFill="1" applyBorder="1" applyAlignment="1" applyProtection="1">
      <alignment horizontal="center"/>
      <protection locked="0"/>
    </xf>
    <xf numFmtId="0" fontId="41" fillId="25" borderId="30" xfId="0" applyFont="1" applyFill="1" applyBorder="1" applyAlignment="1" applyProtection="1">
      <alignment horizontal="center"/>
      <protection locked="0"/>
    </xf>
    <xf numFmtId="0" fontId="6" fillId="24" borderId="12" xfId="0" applyFont="1" applyFill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49" fontId="6" fillId="24" borderId="14" xfId="0" applyNumberFormat="1" applyFont="1" applyFill="1" applyBorder="1" applyAlignment="1" applyProtection="1">
      <alignment horizontal="left" vertical="center"/>
      <protection locked="0"/>
    </xf>
    <xf numFmtId="49" fontId="6" fillId="24" borderId="30" xfId="0" applyNumberFormat="1" applyFont="1" applyFill="1" applyBorder="1" applyAlignment="1" applyProtection="1">
      <alignment horizontal="left" vertical="center"/>
      <protection locked="0"/>
    </xf>
    <xf numFmtId="49" fontId="6" fillId="24" borderId="13" xfId="0" applyNumberFormat="1" applyFont="1" applyFill="1" applyBorder="1" applyAlignment="1" applyProtection="1">
      <alignment horizontal="left" vertical="center"/>
      <protection locked="0"/>
    </xf>
    <xf numFmtId="0" fontId="6" fillId="24" borderId="154" xfId="0" applyFont="1" applyFill="1" applyBorder="1" applyAlignment="1" applyProtection="1">
      <alignment horizontal="left" vertical="center"/>
      <protection locked="0"/>
    </xf>
    <xf numFmtId="0" fontId="6" fillId="24" borderId="155" xfId="0" applyFont="1" applyFill="1" applyBorder="1" applyAlignment="1" applyProtection="1">
      <alignment horizontal="left" vertical="center"/>
      <protection locked="0"/>
    </xf>
    <xf numFmtId="0" fontId="6" fillId="24" borderId="156" xfId="0" applyFont="1" applyFill="1" applyBorder="1" applyAlignment="1" applyProtection="1">
      <alignment horizontal="left" vertical="center"/>
      <protection locked="0"/>
    </xf>
    <xf numFmtId="0" fontId="4" fillId="52" borderId="30" xfId="0" applyFont="1" applyFill="1" applyBorder="1" applyAlignment="1" applyProtection="1">
      <alignment horizontal="center"/>
      <protection hidden="1"/>
    </xf>
    <xf numFmtId="0" fontId="4" fillId="52" borderId="13" xfId="0" applyFont="1" applyFill="1" applyBorder="1" applyAlignment="1" applyProtection="1">
      <alignment horizontal="center"/>
      <protection hidden="1"/>
    </xf>
    <xf numFmtId="0" fontId="4" fillId="24" borderId="14" xfId="0" applyFont="1" applyFill="1" applyBorder="1" applyAlignment="1" applyProtection="1">
      <alignment horizontal="left"/>
      <protection locked="0"/>
    </xf>
    <xf numFmtId="0" fontId="4" fillId="24" borderId="30" xfId="0" applyFont="1" applyFill="1" applyBorder="1" applyAlignment="1" applyProtection="1">
      <alignment horizontal="left"/>
      <protection locked="0"/>
    </xf>
    <xf numFmtId="0" fontId="49" fillId="27" borderId="12" xfId="0" applyFont="1" applyFill="1" applyBorder="1" applyAlignment="1" applyProtection="1">
      <alignment horizontal="center"/>
      <protection locked="0"/>
    </xf>
    <xf numFmtId="0" fontId="5" fillId="27" borderId="14" xfId="0" applyFont="1" applyFill="1" applyBorder="1" applyAlignment="1" applyProtection="1">
      <alignment horizontal="center"/>
      <protection locked="0"/>
    </xf>
    <xf numFmtId="0" fontId="21" fillId="27" borderId="30" xfId="0" applyFont="1" applyFill="1" applyBorder="1" applyAlignment="1" applyProtection="1">
      <alignment horizontal="center"/>
      <protection locked="0"/>
    </xf>
    <xf numFmtId="0" fontId="21" fillId="27" borderId="13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6" fillId="24" borderId="14" xfId="0" applyFont="1" applyFill="1" applyBorder="1" applyAlignment="1" applyProtection="1">
      <alignment horizontal="left" vertical="center"/>
      <protection locked="0"/>
    </xf>
    <xf numFmtId="0" fontId="6" fillId="24" borderId="30" xfId="0" applyFont="1" applyFill="1" applyBorder="1" applyAlignment="1" applyProtection="1">
      <alignment horizontal="left" vertical="center"/>
      <protection locked="0"/>
    </xf>
    <xf numFmtId="0" fontId="6" fillId="24" borderId="13" xfId="0" applyFont="1" applyFill="1" applyBorder="1" applyAlignment="1" applyProtection="1">
      <alignment horizontal="left" vertical="center"/>
      <protection locked="0"/>
    </xf>
    <xf numFmtId="4" fontId="3" fillId="0" borderId="138" xfId="36" applyNumberFormat="1" applyFont="1" applyBorder="1" applyAlignment="1" applyProtection="1">
      <alignment horizontal="center"/>
      <protection locked="0"/>
    </xf>
    <xf numFmtId="4" fontId="3" fillId="0" borderId="37" xfId="36" applyNumberFormat="1" applyFont="1" applyBorder="1" applyAlignment="1" applyProtection="1">
      <alignment horizontal="center"/>
      <protection locked="0"/>
    </xf>
    <xf numFmtId="4" fontId="3" fillId="0" borderId="139" xfId="36" applyNumberFormat="1" applyFont="1" applyBorder="1" applyAlignment="1" applyProtection="1">
      <alignment horizontal="center"/>
      <protection locked="0"/>
    </xf>
    <xf numFmtId="4" fontId="3" fillId="0" borderId="40" xfId="36" applyNumberFormat="1" applyFont="1" applyBorder="1" applyAlignment="1" applyProtection="1">
      <alignment horizontal="center" vertical="center"/>
      <protection hidden="1"/>
    </xf>
    <xf numFmtId="4" fontId="3" fillId="0" borderId="47" xfId="36" applyNumberFormat="1" applyFont="1" applyBorder="1" applyAlignment="1" applyProtection="1">
      <alignment horizontal="center"/>
      <protection locked="0"/>
    </xf>
    <xf numFmtId="4" fontId="3" fillId="0" borderId="48" xfId="36" applyNumberFormat="1" applyFont="1" applyBorder="1" applyAlignment="1" applyProtection="1">
      <alignment horizontal="center"/>
      <protection locked="0"/>
    </xf>
    <xf numFmtId="4" fontId="3" fillId="0" borderId="49" xfId="36" applyNumberFormat="1" applyFont="1" applyBorder="1" applyAlignment="1" applyProtection="1">
      <alignment horizontal="center"/>
      <protection locked="0"/>
    </xf>
    <xf numFmtId="4" fontId="3" fillId="0" borderId="137" xfId="36" applyNumberFormat="1" applyFont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4" fontId="3" fillId="0" borderId="39" xfId="36" applyNumberFormat="1" applyFont="1" applyBorder="1" applyAlignment="1" applyProtection="1">
      <alignment horizontal="center" vertical="center"/>
      <protection hidden="1"/>
    </xf>
    <xf numFmtId="4" fontId="3" fillId="0" borderId="50" xfId="36" applyNumberFormat="1" applyFont="1" applyBorder="1" applyAlignment="1" applyProtection="1">
      <alignment horizontal="center"/>
      <protection locked="0"/>
    </xf>
    <xf numFmtId="4" fontId="3" fillId="0" borderId="51" xfId="36" applyNumberFormat="1" applyFont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 applyProtection="1">
      <alignment horizontal="center"/>
      <protection locked="0"/>
    </xf>
    <xf numFmtId="0" fontId="10" fillId="26" borderId="14" xfId="0" applyFont="1" applyFill="1" applyBorder="1" applyAlignment="1" applyProtection="1">
      <alignment horizontal="center" vertical="center"/>
      <protection locked="0"/>
    </xf>
    <xf numFmtId="0" fontId="0" fillId="26" borderId="13" xfId="0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24" borderId="12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3" fillId="26" borderId="12" xfId="0" applyFont="1" applyFill="1" applyBorder="1" applyAlignment="1" applyProtection="1">
      <alignment horizontal="center"/>
      <protection locked="0"/>
    </xf>
    <xf numFmtId="0" fontId="6" fillId="24" borderId="14" xfId="0" applyFont="1" applyFill="1" applyBorder="1" applyAlignment="1">
      <alignment horizontal="left" vertical="center"/>
    </xf>
    <xf numFmtId="0" fontId="6" fillId="24" borderId="13" xfId="0" applyFont="1" applyFill="1" applyBorder="1" applyAlignment="1">
      <alignment horizontal="left" vertical="center"/>
    </xf>
    <xf numFmtId="0" fontId="6" fillId="25" borderId="14" xfId="0" applyFont="1" applyFill="1" applyBorder="1" applyAlignment="1" applyProtection="1">
      <alignment horizontal="center"/>
      <protection locked="0"/>
    </xf>
    <xf numFmtId="0" fontId="0" fillId="25" borderId="13" xfId="0" applyFill="1" applyBorder="1" applyProtection="1">
      <protection locked="0"/>
    </xf>
    <xf numFmtId="0" fontId="3" fillId="26" borderId="14" xfId="0" applyFont="1" applyFill="1" applyBorder="1" applyAlignment="1" applyProtection="1">
      <alignment horizontal="center"/>
      <protection locked="0"/>
    </xf>
    <xf numFmtId="0" fontId="3" fillId="26" borderId="13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24" borderId="30" xfId="0" applyFont="1" applyFill="1" applyBorder="1" applyAlignment="1">
      <alignment horizontal="left" vertical="center"/>
    </xf>
    <xf numFmtId="4" fontId="3" fillId="0" borderId="12" xfId="36" applyNumberFormat="1" applyFont="1" applyBorder="1" applyAlignment="1" applyProtection="1">
      <alignment horizontal="center"/>
      <protection hidden="1"/>
    </xf>
    <xf numFmtId="4" fontId="3" fillId="0" borderId="41" xfId="36" applyNumberFormat="1" applyFont="1" applyBorder="1" applyAlignment="1" applyProtection="1">
      <alignment horizontal="center" vertical="center"/>
      <protection hidden="1"/>
    </xf>
    <xf numFmtId="0" fontId="3" fillId="24" borderId="14" xfId="0" applyFont="1" applyFill="1" applyBorder="1" applyAlignment="1" applyProtection="1">
      <alignment horizontal="left"/>
      <protection locked="0"/>
    </xf>
    <xf numFmtId="0" fontId="3" fillId="24" borderId="30" xfId="0" applyFont="1" applyFill="1" applyBorder="1" applyAlignment="1" applyProtection="1">
      <alignment horizontal="left"/>
      <protection locked="0"/>
    </xf>
    <xf numFmtId="0" fontId="3" fillId="24" borderId="13" xfId="0" applyFont="1" applyFill="1" applyBorder="1" applyAlignment="1" applyProtection="1">
      <alignment horizontal="left"/>
      <protection locked="0"/>
    </xf>
    <xf numFmtId="0" fontId="6" fillId="25" borderId="12" xfId="0" applyFont="1" applyFill="1" applyBorder="1" applyAlignment="1" applyProtection="1">
      <alignment horizontal="center"/>
      <protection locked="0"/>
    </xf>
    <xf numFmtId="4" fontId="3" fillId="0" borderId="52" xfId="36" applyNumberFormat="1" applyFont="1" applyBorder="1" applyAlignment="1" applyProtection="1">
      <alignment horizontal="center"/>
      <protection locked="0"/>
    </xf>
    <xf numFmtId="4" fontId="3" fillId="0" borderId="54" xfId="36" applyNumberFormat="1" applyFont="1" applyBorder="1" applyAlignment="1" applyProtection="1">
      <alignment horizontal="center"/>
      <protection locked="0"/>
    </xf>
    <xf numFmtId="4" fontId="3" fillId="0" borderId="53" xfId="36" applyNumberFormat="1" applyFont="1" applyBorder="1" applyAlignment="1" applyProtection="1">
      <alignment horizontal="center"/>
      <protection locked="0"/>
    </xf>
    <xf numFmtId="4" fontId="3" fillId="0" borderId="55" xfId="36" applyNumberFormat="1" applyFont="1" applyBorder="1" applyAlignment="1" applyProtection="1">
      <alignment horizontal="center"/>
      <protection locked="0"/>
    </xf>
    <xf numFmtId="0" fontId="41" fillId="25" borderId="14" xfId="0" applyFont="1" applyFill="1" applyBorder="1" applyAlignment="1" applyProtection="1">
      <protection locked="0"/>
    </xf>
    <xf numFmtId="0" fontId="41" fillId="25" borderId="13" xfId="0" applyFont="1" applyFill="1" applyBorder="1" applyAlignment="1" applyProtection="1">
      <protection locked="0"/>
    </xf>
    <xf numFmtId="0" fontId="10" fillId="0" borderId="12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4" fillId="24" borderId="14" xfId="0" applyFont="1" applyFill="1" applyBorder="1" applyAlignment="1" applyProtection="1">
      <alignment horizontal="center" vertical="center"/>
      <protection locked="0"/>
    </xf>
    <xf numFmtId="0" fontId="4" fillId="24" borderId="30" xfId="0" applyFont="1" applyFill="1" applyBorder="1" applyAlignment="1" applyProtection="1">
      <alignment horizontal="center" vertical="center"/>
      <protection locked="0"/>
    </xf>
    <xf numFmtId="0" fontId="4" fillId="24" borderId="13" xfId="0" applyFont="1" applyFill="1" applyBorder="1" applyAlignment="1" applyProtection="1">
      <alignment horizontal="center" vertical="center"/>
      <protection locked="0"/>
    </xf>
    <xf numFmtId="167" fontId="42" fillId="0" borderId="14" xfId="31" applyNumberFormat="1" applyFont="1" applyBorder="1" applyAlignment="1" applyProtection="1">
      <alignment horizontal="center"/>
      <protection hidden="1"/>
    </xf>
    <xf numFmtId="167" fontId="42" fillId="0" borderId="30" xfId="31" applyNumberFormat="1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/>
      <protection locked="0"/>
    </xf>
    <xf numFmtId="0" fontId="3" fillId="24" borderId="30" xfId="0" applyFont="1" applyFill="1" applyBorder="1" applyAlignment="1" applyProtection="1">
      <alignment horizontal="center"/>
      <protection locked="0"/>
    </xf>
    <xf numFmtId="167" fontId="8" fillId="0" borderId="14" xfId="31" applyNumberFormat="1" applyFont="1" applyBorder="1" applyAlignment="1" applyProtection="1">
      <alignment horizontal="center" vertical="center"/>
      <protection hidden="1"/>
    </xf>
    <xf numFmtId="167" fontId="8" fillId="0" borderId="30" xfId="31" applyNumberFormat="1" applyFont="1" applyBorder="1" applyAlignment="1" applyProtection="1">
      <alignment horizontal="center" vertical="center"/>
      <protection hidden="1"/>
    </xf>
    <xf numFmtId="167" fontId="8" fillId="0" borderId="13" xfId="31" applyNumberFormat="1" applyFont="1" applyBorder="1" applyAlignment="1" applyProtection="1">
      <alignment horizontal="center" vertical="center"/>
      <protection hidden="1"/>
    </xf>
    <xf numFmtId="0" fontId="49" fillId="24" borderId="25" xfId="0" applyFont="1" applyFill="1" applyBorder="1" applyAlignment="1" applyProtection="1">
      <alignment horizontal="center" wrapText="1"/>
      <protection locked="0"/>
    </xf>
    <xf numFmtId="0" fontId="49" fillId="24" borderId="26" xfId="0" applyFont="1" applyFill="1" applyBorder="1" applyAlignment="1" applyProtection="1">
      <alignment horizontal="center" wrapText="1"/>
      <protection locked="0"/>
    </xf>
    <xf numFmtId="0" fontId="49" fillId="24" borderId="28" xfId="0" applyFont="1" applyFill="1" applyBorder="1" applyAlignment="1" applyProtection="1">
      <alignment horizontal="center" wrapText="1"/>
      <protection locked="0"/>
    </xf>
    <xf numFmtId="0" fontId="49" fillId="24" borderId="18" xfId="0" applyFont="1" applyFill="1" applyBorder="1" applyAlignment="1" applyProtection="1">
      <alignment horizontal="center" wrapText="1"/>
      <protection locked="0"/>
    </xf>
    <xf numFmtId="0" fontId="49" fillId="24" borderId="27" xfId="0" applyFont="1" applyFill="1" applyBorder="1" applyAlignment="1" applyProtection="1">
      <alignment horizontal="center" wrapText="1"/>
      <protection locked="0"/>
    </xf>
    <xf numFmtId="0" fontId="49" fillId="24" borderId="29" xfId="0" applyFont="1" applyFill="1" applyBorder="1" applyAlignment="1" applyProtection="1">
      <alignment horizontal="center" wrapText="1"/>
      <protection locked="0"/>
    </xf>
    <xf numFmtId="0" fontId="0" fillId="0" borderId="56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4" fillId="28" borderId="12" xfId="0" applyFont="1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7" xfId="0" applyFont="1" applyBorder="1" applyAlignment="1" applyProtection="1">
      <alignment horizontal="center"/>
      <protection locked="0"/>
    </xf>
    <xf numFmtId="0" fontId="0" fillId="0" borderId="58" xfId="0" applyFont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2" fillId="0" borderId="151" xfId="0" applyFont="1" applyBorder="1" applyAlignment="1" applyProtection="1">
      <alignment horizontal="center"/>
      <protection locked="0"/>
    </xf>
    <xf numFmtId="0" fontId="2" fillId="0" borderId="152" xfId="0" applyFont="1" applyBorder="1" applyAlignment="1" applyProtection="1">
      <alignment horizontal="center"/>
      <protection locked="0"/>
    </xf>
    <xf numFmtId="0" fontId="2" fillId="0" borderId="15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56" borderId="151" xfId="0" applyFont="1" applyFill="1" applyBorder="1" applyAlignment="1" applyProtection="1">
      <protection locked="0"/>
    </xf>
    <xf numFmtId="0" fontId="3" fillId="56" borderId="152" xfId="0" applyFont="1" applyFill="1" applyBorder="1" applyAlignment="1" applyProtection="1">
      <protection locked="0"/>
    </xf>
    <xf numFmtId="0" fontId="3" fillId="56" borderId="153" xfId="0" applyFont="1" applyFill="1" applyBorder="1" applyAlignment="1" applyProtection="1">
      <protection locked="0"/>
    </xf>
    <xf numFmtId="0" fontId="2" fillId="0" borderId="158" xfId="0" applyFont="1" applyBorder="1" applyAlignment="1" applyProtection="1">
      <alignment horizontal="center"/>
      <protection locked="0"/>
    </xf>
    <xf numFmtId="0" fontId="2" fillId="0" borderId="159" xfId="0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3" fillId="56" borderId="158" xfId="0" applyFont="1" applyFill="1" applyBorder="1" applyAlignment="1" applyProtection="1">
      <protection locked="0"/>
    </xf>
    <xf numFmtId="0" fontId="3" fillId="56" borderId="159" xfId="0" applyFont="1" applyFill="1" applyBorder="1" applyAlignment="1" applyProtection="1">
      <protection locked="0"/>
    </xf>
    <xf numFmtId="0" fontId="3" fillId="56" borderId="160" xfId="0" applyFont="1" applyFill="1" applyBorder="1" applyAlignment="1" applyProtection="1"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15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28" borderId="150" xfId="0" applyFont="1" applyFill="1" applyBorder="1" applyAlignment="1" applyProtection="1">
      <alignment horizontal="center"/>
      <protection locked="0"/>
    </xf>
    <xf numFmtId="0" fontId="2" fillId="0" borderId="162" xfId="0" applyFont="1" applyBorder="1" applyAlignment="1" applyProtection="1">
      <alignment horizontal="center"/>
      <protection locked="0"/>
    </xf>
    <xf numFmtId="0" fontId="0" fillId="0" borderId="163" xfId="0" applyFont="1" applyBorder="1" applyAlignment="1" applyProtection="1">
      <alignment horizontal="center"/>
      <protection locked="0"/>
    </xf>
    <xf numFmtId="0" fontId="0" fillId="0" borderId="164" xfId="0" applyFont="1" applyBorder="1" applyAlignment="1" applyProtection="1">
      <alignment horizontal="center"/>
      <protection locked="0"/>
    </xf>
    <xf numFmtId="0" fontId="2" fillId="0" borderId="56" xfId="0" applyFont="1" applyFill="1" applyBorder="1" applyAlignment="1" applyProtection="1">
      <alignment horizontal="center"/>
      <protection locked="0"/>
    </xf>
    <xf numFmtId="0" fontId="10" fillId="29" borderId="14" xfId="0" applyFont="1" applyFill="1" applyBorder="1" applyAlignment="1" applyProtection="1">
      <alignment horizontal="left" indent="1"/>
      <protection locked="0"/>
    </xf>
    <xf numFmtId="0" fontId="10" fillId="29" borderId="30" xfId="0" applyFont="1" applyFill="1" applyBorder="1" applyAlignment="1" applyProtection="1">
      <alignment horizontal="left" indent="1"/>
      <protection locked="0"/>
    </xf>
    <xf numFmtId="0" fontId="10" fillId="29" borderId="13" xfId="0" applyFont="1" applyFill="1" applyBorder="1" applyAlignment="1" applyProtection="1">
      <alignment horizontal="left" indent="1"/>
      <protection locked="0"/>
    </xf>
    <xf numFmtId="0" fontId="4" fillId="25" borderId="12" xfId="0" applyFont="1" applyFill="1" applyBorder="1" applyAlignment="1" applyProtection="1">
      <alignment horizontal="center"/>
      <protection locked="0"/>
    </xf>
    <xf numFmtId="0" fontId="12" fillId="29" borderId="14" xfId="0" applyFont="1" applyFill="1" applyBorder="1" applyAlignment="1" applyProtection="1">
      <alignment horizontal="left" vertical="center" indent="1"/>
      <protection locked="0"/>
    </xf>
    <xf numFmtId="0" fontId="12" fillId="29" borderId="30" xfId="0" applyFont="1" applyFill="1" applyBorder="1" applyAlignment="1" applyProtection="1">
      <alignment horizontal="left" vertical="center" indent="1"/>
      <protection locked="0"/>
    </xf>
    <xf numFmtId="0" fontId="12" fillId="29" borderId="13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3" fillId="56" borderId="14" xfId="0" applyFont="1" applyFill="1" applyBorder="1" applyAlignment="1" applyProtection="1">
      <alignment horizontal="left" indent="1"/>
      <protection locked="0"/>
    </xf>
    <xf numFmtId="0" fontId="3" fillId="56" borderId="30" xfId="0" applyFont="1" applyFill="1" applyBorder="1" applyAlignment="1" applyProtection="1">
      <alignment horizontal="left" indent="1"/>
      <protection locked="0"/>
    </xf>
    <xf numFmtId="0" fontId="3" fillId="56" borderId="13" xfId="0" applyFont="1" applyFill="1" applyBorder="1" applyAlignment="1" applyProtection="1">
      <alignment horizontal="left" indent="1"/>
      <protection locked="0"/>
    </xf>
    <xf numFmtId="0" fontId="10" fillId="0" borderId="56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3" fillId="56" borderId="151" xfId="0" applyFont="1" applyFill="1" applyBorder="1" applyAlignment="1" applyProtection="1">
      <alignment horizontal="left" indent="1"/>
      <protection locked="0"/>
    </xf>
    <xf numFmtId="0" fontId="3" fillId="56" borderId="152" xfId="0" applyFont="1" applyFill="1" applyBorder="1" applyAlignment="1" applyProtection="1">
      <alignment horizontal="left" indent="1"/>
      <protection locked="0"/>
    </xf>
    <xf numFmtId="0" fontId="3" fillId="56" borderId="153" xfId="0" applyFont="1" applyFill="1" applyBorder="1" applyAlignment="1" applyProtection="1">
      <alignment horizontal="left" inden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3" fillId="56" borderId="18" xfId="0" applyFont="1" applyFill="1" applyBorder="1" applyAlignment="1" applyProtection="1">
      <alignment horizontal="center"/>
      <protection locked="0"/>
    </xf>
    <xf numFmtId="0" fontId="3" fillId="56" borderId="27" xfId="0" applyFont="1" applyFill="1" applyBorder="1" applyAlignment="1" applyProtection="1">
      <alignment horizontal="center"/>
      <protection locked="0"/>
    </xf>
    <xf numFmtId="0" fontId="3" fillId="56" borderId="29" xfId="0" applyFont="1" applyFill="1" applyBorder="1" applyAlignment="1" applyProtection="1">
      <alignment horizontal="center"/>
      <protection locked="0"/>
    </xf>
    <xf numFmtId="0" fontId="2" fillId="0" borderId="161" xfId="0" applyFont="1" applyFill="1" applyBorder="1" applyAlignment="1" applyProtection="1">
      <alignment horizontal="center"/>
      <protection locked="0"/>
    </xf>
    <xf numFmtId="0" fontId="3" fillId="24" borderId="12" xfId="0" applyFont="1" applyFill="1" applyBorder="1" applyAlignment="1" applyProtection="1">
      <alignment horizontal="left"/>
      <protection locked="0"/>
    </xf>
    <xf numFmtId="0" fontId="3" fillId="24" borderId="14" xfId="0" applyFont="1" applyFill="1" applyBorder="1" applyAlignment="1" applyProtection="1">
      <alignment horizontal="left" vertical="center"/>
      <protection locked="0"/>
    </xf>
    <xf numFmtId="0" fontId="3" fillId="24" borderId="30" xfId="0" applyFont="1" applyFill="1" applyBorder="1" applyAlignment="1" applyProtection="1">
      <alignment horizontal="left" vertical="center"/>
      <protection locked="0"/>
    </xf>
    <xf numFmtId="0" fontId="3" fillId="24" borderId="13" xfId="0" applyFont="1" applyFill="1" applyBorder="1" applyAlignment="1" applyProtection="1">
      <alignment horizontal="left" vertical="center"/>
      <protection locked="0"/>
    </xf>
    <xf numFmtId="0" fontId="4" fillId="24" borderId="14" xfId="0" applyFont="1" applyFill="1" applyBorder="1" applyAlignment="1" applyProtection="1">
      <alignment horizontal="center"/>
      <protection locked="0"/>
    </xf>
    <xf numFmtId="0" fontId="4" fillId="24" borderId="30" xfId="0" applyFont="1" applyFill="1" applyBorder="1" applyAlignment="1" applyProtection="1">
      <alignment horizontal="center"/>
      <protection locked="0"/>
    </xf>
    <xf numFmtId="0" fontId="4" fillId="24" borderId="13" xfId="0" applyFont="1" applyFill="1" applyBorder="1" applyAlignment="1" applyProtection="1">
      <alignment horizontal="center"/>
      <protection locked="0"/>
    </xf>
    <xf numFmtId="0" fontId="4" fillId="28" borderId="14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12" fillId="30" borderId="150" xfId="0" applyFont="1" applyFill="1" applyBorder="1" applyAlignment="1" applyProtection="1">
      <alignment horizontal="center"/>
      <protection locked="0"/>
    </xf>
    <xf numFmtId="0" fontId="2" fillId="0" borderId="154" xfId="0" applyFont="1" applyBorder="1" applyAlignment="1" applyProtection="1">
      <alignment horizontal="center"/>
      <protection locked="0"/>
    </xf>
    <xf numFmtId="0" fontId="2" fillId="0" borderId="155" xfId="0" applyFont="1" applyBorder="1" applyAlignment="1" applyProtection="1">
      <alignment horizontal="center"/>
      <protection locked="0"/>
    </xf>
    <xf numFmtId="0" fontId="2" fillId="0" borderId="156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2" fillId="0" borderId="15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26" borderId="14" xfId="0" applyFont="1" applyFill="1" applyBorder="1" applyAlignment="1" applyProtection="1">
      <alignment horizontal="center"/>
      <protection locked="0"/>
    </xf>
    <xf numFmtId="0" fontId="10" fillId="26" borderId="30" xfId="0" applyFont="1" applyFill="1" applyBorder="1" applyAlignment="1" applyProtection="1">
      <alignment horizontal="center"/>
      <protection locked="0"/>
    </xf>
    <xf numFmtId="0" fontId="10" fillId="26" borderId="13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4" fillId="0" borderId="59" xfId="33" applyFont="1" applyBorder="1" applyAlignment="1" applyProtection="1">
      <alignment horizontal="justify" vertical="top" wrapText="1"/>
      <protection locked="0"/>
    </xf>
    <xf numFmtId="0" fontId="4" fillId="0" borderId="60" xfId="33" applyFont="1" applyBorder="1" applyAlignment="1" applyProtection="1">
      <alignment horizontal="justify" vertical="top" wrapText="1"/>
      <protection locked="0"/>
    </xf>
    <xf numFmtId="0" fontId="4" fillId="0" borderId="61" xfId="33" applyFont="1" applyBorder="1" applyAlignment="1" applyProtection="1">
      <alignment horizontal="justify" vertical="top" wrapText="1"/>
      <protection locked="0"/>
    </xf>
    <xf numFmtId="0" fontId="4" fillId="0" borderId="62" xfId="33" applyFont="1" applyBorder="1" applyAlignment="1" applyProtection="1">
      <alignment horizontal="justify" vertical="top" wrapText="1"/>
      <protection locked="0"/>
    </xf>
    <xf numFmtId="0" fontId="4" fillId="0" borderId="63" xfId="33" applyFont="1" applyBorder="1" applyAlignment="1" applyProtection="1">
      <alignment horizontal="justify" vertical="top" wrapText="1"/>
      <protection locked="0"/>
    </xf>
    <xf numFmtId="0" fontId="4" fillId="0" borderId="64" xfId="33" applyFont="1" applyBorder="1" applyAlignment="1" applyProtection="1">
      <alignment horizontal="justify" vertical="top" wrapText="1"/>
      <protection locked="0"/>
    </xf>
    <xf numFmtId="0" fontId="12" fillId="0" borderId="65" xfId="33" applyFont="1" applyFill="1" applyBorder="1" applyAlignment="1" applyProtection="1">
      <alignment horizontal="left"/>
      <protection locked="0"/>
    </xf>
    <xf numFmtId="0" fontId="12" fillId="0" borderId="66" xfId="33" applyFont="1" applyBorder="1" applyAlignment="1" applyProtection="1">
      <alignment horizontal="center"/>
      <protection locked="0"/>
    </xf>
    <xf numFmtId="0" fontId="12" fillId="0" borderId="67" xfId="33" applyFont="1" applyBorder="1" applyAlignment="1" applyProtection="1">
      <alignment horizontal="center"/>
      <protection locked="0"/>
    </xf>
    <xf numFmtId="0" fontId="4" fillId="31" borderId="14" xfId="33" applyFont="1" applyFill="1" applyBorder="1" applyAlignment="1" applyProtection="1">
      <alignment horizontal="left" vertical="center"/>
      <protection locked="0"/>
    </xf>
    <xf numFmtId="0" fontId="4" fillId="31" borderId="30" xfId="33" applyFont="1" applyFill="1" applyBorder="1" applyAlignment="1" applyProtection="1">
      <alignment horizontal="left" vertical="center"/>
      <protection locked="0"/>
    </xf>
    <xf numFmtId="0" fontId="4" fillId="31" borderId="13" xfId="33" applyFont="1" applyFill="1" applyBorder="1" applyAlignment="1" applyProtection="1">
      <alignment horizontal="left" vertical="center"/>
      <protection locked="0"/>
    </xf>
    <xf numFmtId="0" fontId="43" fillId="0" borderId="68" xfId="33" applyFont="1" applyBorder="1" applyAlignment="1" applyProtection="1">
      <alignment horizontal="center" vertical="center" wrapText="1"/>
      <protection locked="0"/>
    </xf>
    <xf numFmtId="0" fontId="43" fillId="0" borderId="69" xfId="33" applyFont="1" applyBorder="1" applyAlignment="1" applyProtection="1">
      <alignment horizontal="center" vertical="center" wrapText="1"/>
      <protection locked="0"/>
    </xf>
    <xf numFmtId="0" fontId="43" fillId="0" borderId="70" xfId="33" applyFont="1" applyBorder="1" applyAlignment="1" applyProtection="1">
      <alignment horizontal="center" vertical="center" wrapText="1"/>
      <protection locked="0"/>
    </xf>
    <xf numFmtId="0" fontId="43" fillId="0" borderId="71" xfId="33" applyFont="1" applyBorder="1" applyAlignment="1" applyProtection="1">
      <alignment horizontal="center" vertical="center" wrapText="1"/>
      <protection locked="0"/>
    </xf>
    <xf numFmtId="0" fontId="43" fillId="0" borderId="72" xfId="33" applyFont="1" applyBorder="1" applyAlignment="1" applyProtection="1">
      <alignment horizontal="center" vertical="center" wrapText="1"/>
      <protection locked="0"/>
    </xf>
    <xf numFmtId="0" fontId="43" fillId="0" borderId="73" xfId="33" applyFont="1" applyBorder="1" applyAlignment="1" applyProtection="1">
      <alignment horizontal="center" vertical="center" wrapText="1"/>
      <protection locked="0"/>
    </xf>
    <xf numFmtId="0" fontId="12" fillId="0" borderId="56" xfId="33" applyFont="1" applyBorder="1" applyAlignment="1" applyProtection="1">
      <alignment horizontal="left"/>
      <protection locked="0"/>
    </xf>
    <xf numFmtId="0" fontId="12" fillId="0" borderId="57" xfId="33" applyFont="1" applyBorder="1" applyAlignment="1" applyProtection="1">
      <alignment horizontal="center"/>
      <protection locked="0"/>
    </xf>
    <xf numFmtId="0" fontId="12" fillId="0" borderId="58" xfId="33" applyFont="1" applyBorder="1" applyAlignment="1" applyProtection="1">
      <alignment horizontal="center"/>
      <protection locked="0"/>
    </xf>
    <xf numFmtId="0" fontId="3" fillId="32" borderId="74" xfId="33" applyFont="1" applyFill="1" applyBorder="1" applyAlignment="1" applyProtection="1">
      <alignment horizontal="left"/>
      <protection locked="0"/>
    </xf>
    <xf numFmtId="0" fontId="3" fillId="32" borderId="75" xfId="33" applyFont="1" applyFill="1" applyBorder="1" applyAlignment="1" applyProtection="1">
      <alignment horizontal="left"/>
      <protection locked="0"/>
    </xf>
    <xf numFmtId="0" fontId="3" fillId="32" borderId="76" xfId="33" applyFont="1" applyFill="1" applyBorder="1" applyAlignment="1" applyProtection="1">
      <alignment horizontal="left"/>
      <protection locked="0"/>
    </xf>
    <xf numFmtId="0" fontId="12" fillId="0" borderId="77" xfId="33" applyFont="1" applyBorder="1" applyAlignment="1" applyProtection="1">
      <alignment horizontal="center"/>
      <protection locked="0"/>
    </xf>
    <xf numFmtId="0" fontId="12" fillId="0" borderId="78" xfId="33" applyFont="1" applyBorder="1" applyAlignment="1" applyProtection="1">
      <alignment horizontal="center"/>
      <protection locked="0"/>
    </xf>
    <xf numFmtId="168" fontId="4" fillId="0" borderId="79" xfId="33" applyNumberFormat="1" applyFont="1" applyBorder="1" applyAlignment="1" applyProtection="1">
      <alignment horizontal="center"/>
      <protection locked="0"/>
    </xf>
    <xf numFmtId="0" fontId="4" fillId="0" borderId="57" xfId="33" applyFont="1" applyBorder="1" applyAlignment="1" applyProtection="1">
      <alignment horizontal="center"/>
      <protection locked="0"/>
    </xf>
    <xf numFmtId="0" fontId="4" fillId="0" borderId="58" xfId="33" applyFont="1" applyBorder="1" applyAlignment="1" applyProtection="1">
      <alignment horizontal="center"/>
      <protection locked="0"/>
    </xf>
    <xf numFmtId="0" fontId="10" fillId="0" borderId="43" xfId="33" applyFont="1" applyBorder="1" applyAlignment="1" applyProtection="1">
      <alignment horizontal="center"/>
      <protection locked="0"/>
    </xf>
    <xf numFmtId="171" fontId="10" fillId="0" borderId="80" xfId="38" applyFont="1" applyFill="1" applyBorder="1" applyAlignment="1" applyProtection="1">
      <alignment horizontal="center"/>
      <protection hidden="1"/>
    </xf>
    <xf numFmtId="171" fontId="10" fillId="0" borderId="81" xfId="38" applyFont="1" applyFill="1" applyBorder="1" applyAlignment="1" applyProtection="1">
      <alignment horizontal="center"/>
      <protection hidden="1"/>
    </xf>
    <xf numFmtId="0" fontId="10" fillId="0" borderId="82" xfId="33" applyFont="1" applyBorder="1" applyAlignment="1" applyProtection="1">
      <alignment horizontal="center"/>
      <protection locked="0"/>
    </xf>
    <xf numFmtId="0" fontId="10" fillId="0" borderId="83" xfId="33" applyFont="1" applyBorder="1" applyAlignment="1" applyProtection="1">
      <alignment horizontal="center"/>
      <protection locked="0"/>
    </xf>
    <xf numFmtId="0" fontId="10" fillId="0" borderId="84" xfId="33" applyFont="1" applyBorder="1" applyAlignment="1" applyProtection="1">
      <alignment horizontal="center"/>
      <protection locked="0"/>
    </xf>
    <xf numFmtId="171" fontId="3" fillId="0" borderId="85" xfId="38" applyFont="1" applyFill="1" applyBorder="1" applyAlignment="1" applyProtection="1">
      <alignment horizontal="center"/>
      <protection hidden="1"/>
    </xf>
    <xf numFmtId="171" fontId="3" fillId="0" borderId="29" xfId="38" applyFont="1" applyFill="1" applyBorder="1" applyAlignment="1" applyProtection="1">
      <alignment horizontal="center"/>
      <protection hidden="1"/>
    </xf>
    <xf numFmtId="0" fontId="10" fillId="0" borderId="86" xfId="33" applyFont="1" applyBorder="1" applyAlignment="1" applyProtection="1">
      <alignment horizontal="center"/>
      <protection locked="0"/>
    </xf>
    <xf numFmtId="0" fontId="10" fillId="0" borderId="87" xfId="33" applyFont="1" applyBorder="1" applyAlignment="1" applyProtection="1">
      <alignment horizontal="center"/>
      <protection locked="0"/>
    </xf>
    <xf numFmtId="0" fontId="10" fillId="0" borderId="88" xfId="33" applyFont="1" applyBorder="1" applyAlignment="1" applyProtection="1">
      <alignment horizontal="center"/>
      <protection locked="0"/>
    </xf>
    <xf numFmtId="0" fontId="10" fillId="0" borderId="89" xfId="33" applyFont="1" applyBorder="1" applyAlignment="1" applyProtection="1">
      <alignment horizontal="center"/>
      <protection locked="0"/>
    </xf>
    <xf numFmtId="171" fontId="10" fillId="0" borderId="43" xfId="38" applyFont="1" applyFill="1" applyBorder="1" applyAlignment="1" applyProtection="1">
      <alignment horizontal="center"/>
      <protection locked="0"/>
    </xf>
    <xf numFmtId="171" fontId="10" fillId="0" borderId="43" xfId="38" applyFont="1" applyFill="1" applyBorder="1" applyAlignment="1" applyProtection="1">
      <alignment horizontal="center"/>
      <protection hidden="1"/>
    </xf>
    <xf numFmtId="171" fontId="10" fillId="0" borderId="57" xfId="38" applyFont="1" applyFill="1" applyBorder="1" applyAlignment="1" applyProtection="1">
      <alignment horizontal="center"/>
      <protection hidden="1"/>
    </xf>
    <xf numFmtId="171" fontId="10" fillId="0" borderId="58" xfId="38" applyFont="1" applyFill="1" applyBorder="1" applyAlignment="1" applyProtection="1">
      <alignment horizontal="center"/>
      <protection hidden="1"/>
    </xf>
    <xf numFmtId="0" fontId="10" fillId="0" borderId="68" xfId="33" applyFont="1" applyBorder="1" applyAlignment="1" applyProtection="1">
      <alignment horizontal="center"/>
      <protection locked="0"/>
    </xf>
    <xf numFmtId="0" fontId="10" fillId="0" borderId="69" xfId="33" applyFont="1" applyBorder="1" applyAlignment="1" applyProtection="1">
      <alignment horizontal="center"/>
      <protection locked="0"/>
    </xf>
    <xf numFmtId="0" fontId="10" fillId="0" borderId="70" xfId="33" applyFont="1" applyBorder="1" applyAlignment="1" applyProtection="1">
      <alignment horizontal="center"/>
      <protection locked="0"/>
    </xf>
    <xf numFmtId="0" fontId="4" fillId="33" borderId="90" xfId="33" applyFont="1" applyFill="1" applyBorder="1" applyAlignment="1" applyProtection="1">
      <alignment horizontal="center"/>
      <protection locked="0"/>
    </xf>
    <xf numFmtId="0" fontId="4" fillId="33" borderId="91" xfId="33" applyFont="1" applyFill="1" applyBorder="1" applyAlignment="1" applyProtection="1">
      <alignment horizontal="center"/>
      <protection locked="0"/>
    </xf>
    <xf numFmtId="0" fontId="4" fillId="33" borderId="92" xfId="33" applyFont="1" applyFill="1" applyBorder="1" applyAlignment="1" applyProtection="1">
      <alignment horizontal="center"/>
      <protection locked="0"/>
    </xf>
    <xf numFmtId="0" fontId="10" fillId="0" borderId="45" xfId="33" applyFont="1" applyBorder="1" applyAlignment="1" applyProtection="1">
      <alignment horizontal="center"/>
      <protection locked="0"/>
    </xf>
    <xf numFmtId="0" fontId="10" fillId="0" borderId="93" xfId="33" applyFont="1" applyBorder="1" applyAlignment="1" applyProtection="1">
      <alignment horizontal="center"/>
      <protection locked="0"/>
    </xf>
    <xf numFmtId="0" fontId="10" fillId="0" borderId="94" xfId="33" applyFont="1" applyBorder="1" applyAlignment="1" applyProtection="1">
      <alignment horizontal="center"/>
      <protection locked="0"/>
    </xf>
    <xf numFmtId="0" fontId="10" fillId="0" borderId="42" xfId="33" applyFont="1" applyBorder="1" applyAlignment="1" applyProtection="1">
      <alignment horizontal="center"/>
      <protection locked="0"/>
    </xf>
    <xf numFmtId="0" fontId="10" fillId="0" borderId="95" xfId="33" applyFont="1" applyBorder="1" applyAlignment="1" applyProtection="1">
      <alignment horizontal="center"/>
      <protection locked="0"/>
    </xf>
    <xf numFmtId="171" fontId="10" fillId="0" borderId="42" xfId="38" applyFont="1" applyFill="1" applyBorder="1" applyAlignment="1" applyProtection="1">
      <alignment horizontal="center"/>
      <protection locked="0"/>
    </xf>
    <xf numFmtId="171" fontId="10" fillId="0" borderId="96" xfId="38" applyFont="1" applyFill="1" applyBorder="1" applyAlignment="1" applyProtection="1">
      <alignment horizontal="center"/>
      <protection hidden="1"/>
    </xf>
    <xf numFmtId="171" fontId="10" fillId="0" borderId="97" xfId="38" applyFont="1" applyFill="1" applyBorder="1" applyAlignment="1" applyProtection="1">
      <alignment horizontal="center"/>
      <protection hidden="1"/>
    </xf>
    <xf numFmtId="0" fontId="3" fillId="0" borderId="44" xfId="33" applyFont="1" applyBorder="1" applyAlignment="1" applyProtection="1">
      <alignment horizontal="center"/>
      <protection locked="0"/>
    </xf>
    <xf numFmtId="0" fontId="3" fillId="0" borderId="98" xfId="33" applyFont="1" applyBorder="1" applyAlignment="1" applyProtection="1">
      <alignment horizontal="center"/>
      <protection locked="0"/>
    </xf>
    <xf numFmtId="171" fontId="10" fillId="0" borderId="56" xfId="38" applyFont="1" applyFill="1" applyBorder="1" applyAlignment="1" applyProtection="1">
      <alignment horizontal="center"/>
      <protection locked="0"/>
    </xf>
    <xf numFmtId="171" fontId="10" fillId="0" borderId="99" xfId="38" applyFont="1" applyFill="1" applyBorder="1" applyAlignment="1" applyProtection="1">
      <alignment horizontal="center"/>
      <protection hidden="1"/>
    </xf>
    <xf numFmtId="171" fontId="10" fillId="0" borderId="79" xfId="38" applyFont="1" applyFill="1" applyBorder="1" applyAlignment="1" applyProtection="1">
      <alignment horizontal="center"/>
      <protection locked="0"/>
    </xf>
    <xf numFmtId="171" fontId="10" fillId="0" borderId="79" xfId="38" applyFont="1" applyFill="1" applyBorder="1" applyAlignment="1" applyProtection="1">
      <alignment horizontal="center"/>
      <protection hidden="1"/>
    </xf>
    <xf numFmtId="171" fontId="10" fillId="0" borderId="101" xfId="38" applyFont="1" applyFill="1" applyBorder="1" applyAlignment="1" applyProtection="1">
      <alignment horizontal="center"/>
      <protection hidden="1"/>
    </xf>
    <xf numFmtId="171" fontId="10" fillId="0" borderId="102" xfId="38" applyFont="1" applyFill="1" applyBorder="1" applyAlignment="1" applyProtection="1">
      <alignment horizontal="center"/>
      <protection hidden="1"/>
    </xf>
    <xf numFmtId="171" fontId="10" fillId="0" borderId="100" xfId="38" applyFont="1" applyFill="1" applyBorder="1" applyAlignment="1" applyProtection="1">
      <alignment horizontal="center"/>
      <protection locked="0"/>
    </xf>
    <xf numFmtId="0" fontId="10" fillId="0" borderId="77" xfId="33" applyFont="1" applyBorder="1" applyAlignment="1" applyProtection="1">
      <alignment horizontal="center"/>
      <protection locked="0"/>
    </xf>
    <xf numFmtId="0" fontId="10" fillId="0" borderId="78" xfId="33" applyFont="1" applyBorder="1" applyAlignment="1" applyProtection="1">
      <alignment horizontal="center"/>
      <protection locked="0"/>
    </xf>
    <xf numFmtId="171" fontId="10" fillId="0" borderId="103" xfId="38" applyFont="1" applyFill="1" applyBorder="1" applyAlignment="1" applyProtection="1">
      <alignment horizontal="center"/>
      <protection hidden="1"/>
    </xf>
    <xf numFmtId="171" fontId="10" fillId="0" borderId="104" xfId="38" applyFont="1" applyFill="1" applyBorder="1" applyAlignment="1" applyProtection="1">
      <alignment horizontal="center"/>
      <protection hidden="1"/>
    </xf>
    <xf numFmtId="171" fontId="10" fillId="0" borderId="100" xfId="38" applyFont="1" applyFill="1" applyBorder="1" applyAlignment="1" applyProtection="1">
      <alignment horizontal="center"/>
      <protection hidden="1"/>
    </xf>
    <xf numFmtId="171" fontId="10" fillId="0" borderId="66" xfId="38" applyFont="1" applyFill="1" applyBorder="1" applyAlignment="1" applyProtection="1">
      <alignment horizontal="center"/>
      <protection hidden="1"/>
    </xf>
    <xf numFmtId="171" fontId="10" fillId="0" borderId="67" xfId="38" applyFont="1" applyFill="1" applyBorder="1" applyAlignment="1" applyProtection="1">
      <alignment horizontal="center"/>
      <protection hidden="1"/>
    </xf>
    <xf numFmtId="171" fontId="10" fillId="0" borderId="65" xfId="38" applyFont="1" applyFill="1" applyBorder="1" applyAlignment="1" applyProtection="1">
      <alignment horizontal="center"/>
      <protection locked="0"/>
    </xf>
    <xf numFmtId="171" fontId="10" fillId="0" borderId="65" xfId="38" applyFont="1" applyFill="1" applyBorder="1" applyAlignment="1" applyProtection="1">
      <alignment horizontal="center"/>
      <protection hidden="1"/>
    </xf>
    <xf numFmtId="0" fontId="3" fillId="33" borderId="90" xfId="33" applyFont="1" applyFill="1" applyBorder="1" applyAlignment="1" applyProtection="1">
      <alignment horizontal="center"/>
      <protection locked="0"/>
    </xf>
    <xf numFmtId="0" fontId="3" fillId="33" borderId="91" xfId="33" applyFont="1" applyFill="1" applyBorder="1" applyAlignment="1" applyProtection="1">
      <alignment horizontal="center"/>
      <protection locked="0"/>
    </xf>
    <xf numFmtId="0" fontId="3" fillId="33" borderId="92" xfId="33" applyFont="1" applyFill="1" applyBorder="1" applyAlignment="1" applyProtection="1">
      <alignment horizontal="center"/>
      <protection locked="0"/>
    </xf>
    <xf numFmtId="0" fontId="18" fillId="0" borderId="44" xfId="33" applyFont="1" applyBorder="1" applyAlignment="1" applyProtection="1">
      <alignment horizontal="center"/>
      <protection locked="0"/>
    </xf>
    <xf numFmtId="0" fontId="18" fillId="0" borderId="98" xfId="33" applyFont="1" applyBorder="1" applyAlignment="1" applyProtection="1">
      <alignment horizontal="center"/>
      <protection locked="0"/>
    </xf>
    <xf numFmtId="0" fontId="18" fillId="34" borderId="56" xfId="33" applyFont="1" applyFill="1" applyBorder="1" applyAlignment="1" applyProtection="1">
      <alignment horizontal="center"/>
      <protection locked="0"/>
    </xf>
    <xf numFmtId="0" fontId="18" fillId="0" borderId="56" xfId="33" applyFont="1" applyBorder="1" applyAlignment="1" applyProtection="1">
      <alignment horizontal="center"/>
      <protection hidden="1"/>
    </xf>
    <xf numFmtId="0" fontId="18" fillId="0" borderId="57" xfId="33" applyFont="1" applyBorder="1" applyAlignment="1" applyProtection="1">
      <alignment horizontal="center"/>
      <protection hidden="1"/>
    </xf>
    <xf numFmtId="0" fontId="18" fillId="0" borderId="58" xfId="33" applyFont="1" applyBorder="1" applyAlignment="1" applyProtection="1">
      <alignment horizontal="center"/>
      <protection hidden="1"/>
    </xf>
    <xf numFmtId="0" fontId="6" fillId="24" borderId="25" xfId="0" applyFont="1" applyFill="1" applyBorder="1" applyAlignment="1">
      <alignment horizontal="left" vertical="center"/>
    </xf>
    <xf numFmtId="0" fontId="6" fillId="24" borderId="28" xfId="0" applyFont="1" applyFill="1" applyBorder="1" applyAlignment="1">
      <alignment horizontal="left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24" borderId="25" xfId="0" applyFont="1" applyFill="1" applyBorder="1" applyAlignment="1" applyProtection="1">
      <alignment horizontal="left" vertical="center"/>
      <protection locked="0"/>
    </xf>
    <xf numFmtId="0" fontId="6" fillId="24" borderId="26" xfId="0" applyFont="1" applyFill="1" applyBorder="1" applyAlignment="1" applyProtection="1">
      <alignment horizontal="left" vertical="center"/>
      <protection locked="0"/>
    </xf>
    <xf numFmtId="0" fontId="6" fillId="24" borderId="28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49" fontId="6" fillId="24" borderId="25" xfId="0" applyNumberFormat="1" applyFont="1" applyFill="1" applyBorder="1" applyAlignment="1" applyProtection="1">
      <alignment horizontal="left" vertical="center"/>
      <protection locked="0"/>
    </xf>
    <xf numFmtId="49" fontId="6" fillId="24" borderId="26" xfId="0" applyNumberFormat="1" applyFont="1" applyFill="1" applyBorder="1" applyAlignment="1" applyProtection="1">
      <alignment horizontal="left" vertical="center"/>
      <protection locked="0"/>
    </xf>
    <xf numFmtId="49" fontId="6" fillId="24" borderId="28" xfId="0" applyNumberFormat="1" applyFont="1" applyFill="1" applyBorder="1" applyAlignment="1" applyProtection="1">
      <alignment horizontal="left" vertical="center"/>
      <protection locked="0"/>
    </xf>
    <xf numFmtId="0" fontId="5" fillId="24" borderId="14" xfId="0" applyFont="1" applyFill="1" applyBorder="1" applyAlignment="1">
      <alignment horizontal="center"/>
    </xf>
    <xf numFmtId="0" fontId="5" fillId="24" borderId="30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6" fillId="24" borderId="10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  <protection locked="0"/>
    </xf>
    <xf numFmtId="49" fontId="17" fillId="0" borderId="105" xfId="0" applyNumberFormat="1" applyFont="1" applyBorder="1" applyAlignment="1" applyProtection="1">
      <alignment horizontal="left"/>
      <protection hidden="1"/>
    </xf>
    <xf numFmtId="49" fontId="17" fillId="0" borderId="106" xfId="0" applyNumberFormat="1" applyFont="1" applyBorder="1" applyAlignment="1" applyProtection="1">
      <alignment horizontal="left"/>
      <protection hidden="1"/>
    </xf>
    <xf numFmtId="49" fontId="0" fillId="0" borderId="107" xfId="0" applyNumberFormat="1" applyBorder="1" applyAlignment="1" applyProtection="1">
      <alignment horizontal="left"/>
      <protection locked="0"/>
    </xf>
    <xf numFmtId="49" fontId="0" fillId="0" borderId="108" xfId="0" applyNumberFormat="1" applyBorder="1" applyAlignment="1" applyProtection="1">
      <alignment horizontal="left"/>
      <protection locked="0"/>
    </xf>
    <xf numFmtId="49" fontId="0" fillId="0" borderId="109" xfId="0" applyNumberFormat="1" applyBorder="1" applyAlignment="1" applyProtection="1">
      <alignment horizontal="left"/>
      <protection locked="0"/>
    </xf>
    <xf numFmtId="49" fontId="17" fillId="0" borderId="110" xfId="0" applyNumberFormat="1" applyFont="1" applyBorder="1" applyAlignment="1" applyProtection="1">
      <alignment horizontal="left"/>
      <protection hidden="1"/>
    </xf>
    <xf numFmtId="49" fontId="17" fillId="0" borderId="111" xfId="0" applyNumberFormat="1" applyFont="1" applyBorder="1" applyAlignment="1" applyProtection="1">
      <alignment horizontal="left"/>
      <protection locked="0"/>
    </xf>
    <xf numFmtId="49" fontId="17" fillId="0" borderId="112" xfId="0" applyNumberFormat="1" applyFont="1" applyBorder="1" applyAlignment="1" applyProtection="1">
      <alignment horizontal="left" vertical="top"/>
      <protection locked="0"/>
    </xf>
    <xf numFmtId="49" fontId="17" fillId="0" borderId="21" xfId="0" applyNumberFormat="1" applyFont="1" applyBorder="1" applyAlignment="1" applyProtection="1">
      <alignment horizontal="left"/>
      <protection hidden="1"/>
    </xf>
    <xf numFmtId="49" fontId="17" fillId="0" borderId="113" xfId="0" applyNumberFormat="1" applyFont="1" applyBorder="1" applyAlignment="1" applyProtection="1">
      <alignment horizontal="left"/>
      <protection hidden="1"/>
    </xf>
    <xf numFmtId="49" fontId="17" fillId="0" borderId="114" xfId="0" applyNumberFormat="1" applyFont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/>
      <protection hidden="1"/>
    </xf>
    <xf numFmtId="49" fontId="17" fillId="0" borderId="115" xfId="0" applyNumberFormat="1" applyFont="1" applyBorder="1" applyAlignment="1" applyProtection="1">
      <alignment horizontal="left"/>
      <protection locked="0"/>
    </xf>
    <xf numFmtId="165" fontId="17" fillId="0" borderId="116" xfId="37" applyFont="1" applyFill="1" applyBorder="1" applyAlignment="1" applyProtection="1">
      <alignment horizontal="left"/>
      <protection locked="0"/>
    </xf>
    <xf numFmtId="165" fontId="17" fillId="0" borderId="106" xfId="37" applyFont="1" applyBorder="1" applyAlignment="1" applyProtection="1">
      <alignment horizontal="left"/>
      <protection hidden="1"/>
    </xf>
    <xf numFmtId="165" fontId="17" fillId="0" borderId="117" xfId="37" applyFont="1" applyBorder="1" applyAlignment="1" applyProtection="1">
      <alignment horizontal="left"/>
      <protection hidden="1"/>
    </xf>
    <xf numFmtId="49" fontId="17" fillId="0" borderId="20" xfId="0" applyNumberFormat="1" applyFont="1" applyBorder="1" applyAlignment="1" applyProtection="1">
      <alignment horizontal="left"/>
      <protection hidden="1"/>
    </xf>
    <xf numFmtId="49" fontId="17" fillId="0" borderId="118" xfId="0" applyNumberFormat="1" applyFont="1" applyBorder="1" applyAlignment="1" applyProtection="1">
      <alignment horizontal="left"/>
      <protection hidden="1"/>
    </xf>
    <xf numFmtId="49" fontId="17" fillId="0" borderId="119" xfId="0" applyNumberFormat="1" applyFont="1" applyBorder="1" applyAlignment="1" applyProtection="1">
      <alignment horizontal="left"/>
      <protection locked="0"/>
    </xf>
    <xf numFmtId="49" fontId="17" fillId="0" borderId="120" xfId="0" applyNumberFormat="1" applyFont="1" applyBorder="1" applyAlignment="1" applyProtection="1">
      <alignment horizontal="left"/>
      <protection hidden="1"/>
    </xf>
    <xf numFmtId="49" fontId="17" fillId="0" borderId="121" xfId="0" applyNumberFormat="1" applyFont="1" applyBorder="1" applyAlignment="1" applyProtection="1">
      <alignment horizontal="left"/>
      <protection locked="0"/>
    </xf>
    <xf numFmtId="165" fontId="17" fillId="0" borderId="119" xfId="37" applyFont="1" applyFill="1" applyBorder="1" applyAlignment="1" applyProtection="1">
      <alignment horizontal="left"/>
      <protection locked="0"/>
    </xf>
    <xf numFmtId="49" fontId="17" fillId="0" borderId="120" xfId="0" applyNumberFormat="1" applyFont="1" applyBorder="1" applyAlignment="1" applyProtection="1">
      <alignment horizontal="center"/>
      <protection hidden="1"/>
    </xf>
    <xf numFmtId="49" fontId="17" fillId="0" borderId="118" xfId="0" applyNumberFormat="1" applyFont="1" applyBorder="1" applyAlignment="1" applyProtection="1">
      <alignment horizontal="center"/>
      <protection hidden="1"/>
    </xf>
    <xf numFmtId="165" fontId="17" fillId="0" borderId="121" xfId="37" applyFont="1" applyFill="1" applyBorder="1" applyAlignment="1" applyProtection="1">
      <alignment horizontal="center"/>
      <protection locked="0"/>
    </xf>
    <xf numFmtId="49" fontId="17" fillId="0" borderId="122" xfId="0" applyNumberFormat="1" applyFont="1" applyBorder="1" applyAlignment="1" applyProtection="1">
      <alignment horizontal="left"/>
      <protection locked="0"/>
    </xf>
    <xf numFmtId="49" fontId="17" fillId="0" borderId="123" xfId="0" applyNumberFormat="1" applyFont="1" applyBorder="1" applyAlignment="1" applyProtection="1">
      <alignment horizontal="left"/>
      <protection hidden="1"/>
    </xf>
    <xf numFmtId="49" fontId="17" fillId="0" borderId="124" xfId="0" applyNumberFormat="1" applyFont="1" applyBorder="1" applyAlignment="1" applyProtection="1">
      <alignment horizontal="left"/>
      <protection hidden="1"/>
    </xf>
    <xf numFmtId="0" fontId="5" fillId="0" borderId="125" xfId="0" applyFont="1" applyBorder="1" applyAlignment="1" applyProtection="1">
      <alignment horizontal="left"/>
      <protection locked="0"/>
    </xf>
    <xf numFmtId="0" fontId="14" fillId="0" borderId="126" xfId="0" applyFont="1" applyBorder="1" applyAlignment="1" applyProtection="1">
      <alignment horizontal="center"/>
      <protection hidden="1"/>
    </xf>
    <xf numFmtId="0" fontId="14" fillId="0" borderId="19" xfId="0" applyFont="1" applyBorder="1" applyAlignment="1" applyProtection="1">
      <alignment horizontal="center"/>
      <protection hidden="1"/>
    </xf>
    <xf numFmtId="0" fontId="16" fillId="0" borderId="127" xfId="0" applyFont="1" applyBorder="1" applyAlignment="1" applyProtection="1">
      <alignment horizontal="left"/>
      <protection hidden="1"/>
    </xf>
    <xf numFmtId="0" fontId="16" fillId="0" borderId="128" xfId="0" applyFont="1" applyBorder="1" applyAlignment="1" applyProtection="1">
      <alignment horizontal="left"/>
      <protection hidden="1"/>
    </xf>
    <xf numFmtId="168" fontId="15" fillId="0" borderId="128" xfId="0" applyNumberFormat="1" applyFont="1" applyBorder="1" applyAlignment="1" applyProtection="1">
      <alignment horizontal="left"/>
      <protection locked="0"/>
    </xf>
    <xf numFmtId="168" fontId="15" fillId="0" borderId="129" xfId="0" applyNumberFormat="1" applyFont="1" applyBorder="1" applyAlignment="1" applyProtection="1">
      <alignment horizontal="left"/>
      <protection locked="0"/>
    </xf>
    <xf numFmtId="49" fontId="17" fillId="0" borderId="23" xfId="0" applyNumberFormat="1" applyFont="1" applyBorder="1" applyAlignment="1" applyProtection="1">
      <alignment horizontal="left"/>
      <protection hidden="1"/>
    </xf>
    <xf numFmtId="49" fontId="17" fillId="0" borderId="130" xfId="0" applyNumberFormat="1" applyFont="1" applyBorder="1" applyAlignment="1" applyProtection="1">
      <alignment horizontal="center"/>
      <protection locked="0"/>
    </xf>
    <xf numFmtId="49" fontId="17" fillId="0" borderId="131" xfId="0" applyNumberFormat="1" applyFont="1" applyBorder="1" applyAlignment="1" applyProtection="1">
      <alignment horizontal="center"/>
      <protection locked="0"/>
    </xf>
    <xf numFmtId="49" fontId="17" fillId="0" borderId="132" xfId="0" applyNumberFormat="1" applyFont="1" applyBorder="1" applyAlignment="1" applyProtection="1">
      <alignment horizontal="center"/>
      <protection hidden="1"/>
    </xf>
    <xf numFmtId="49" fontId="17" fillId="0" borderId="131" xfId="0" applyNumberFormat="1" applyFont="1" applyBorder="1" applyAlignment="1" applyProtection="1">
      <alignment horizontal="center"/>
      <protection hidden="1"/>
    </xf>
    <xf numFmtId="49" fontId="17" fillId="0" borderId="133" xfId="0" applyNumberFormat="1" applyFont="1" applyBorder="1" applyAlignment="1" applyProtection="1">
      <alignment horizontal="center"/>
      <protection hidden="1"/>
    </xf>
    <xf numFmtId="165" fontId="17" fillId="0" borderId="131" xfId="37" applyFont="1" applyBorder="1" applyAlignment="1" applyProtection="1">
      <alignment horizontal="center"/>
      <protection locked="0"/>
    </xf>
    <xf numFmtId="165" fontId="17" fillId="0" borderId="134" xfId="37" applyFont="1" applyBorder="1" applyAlignment="1" applyProtection="1">
      <alignment horizontal="center"/>
      <protection locked="0"/>
    </xf>
    <xf numFmtId="49" fontId="17" fillId="0" borderId="106" xfId="0" applyNumberFormat="1" applyFont="1" applyBorder="1" applyAlignment="1" applyProtection="1">
      <alignment horizontal="left"/>
      <protection locked="0"/>
    </xf>
    <xf numFmtId="49" fontId="17" fillId="0" borderId="117" xfId="0" applyNumberFormat="1" applyFont="1" applyBorder="1" applyAlignment="1" applyProtection="1">
      <alignment horizontal="left"/>
      <protection locked="0"/>
    </xf>
    <xf numFmtId="49" fontId="17" fillId="0" borderId="119" xfId="0" applyNumberFormat="1" applyFont="1" applyBorder="1" applyAlignment="1" applyProtection="1">
      <protection locked="0"/>
    </xf>
    <xf numFmtId="49" fontId="17" fillId="0" borderId="116" xfId="0" applyNumberFormat="1" applyFont="1" applyBorder="1" applyAlignment="1" applyProtection="1">
      <alignment horizontal="left"/>
      <protection locked="0"/>
    </xf>
    <xf numFmtId="49" fontId="17" fillId="0" borderId="118" xfId="0" applyNumberFormat="1" applyFont="1" applyBorder="1" applyAlignment="1" applyProtection="1">
      <alignment horizontal="left"/>
      <protection locked="0"/>
    </xf>
    <xf numFmtId="49" fontId="17" fillId="0" borderId="135" xfId="0" applyNumberFormat="1" applyFont="1" applyBorder="1" applyAlignment="1" applyProtection="1">
      <alignment horizontal="left"/>
      <protection locked="0"/>
    </xf>
    <xf numFmtId="0" fontId="10" fillId="0" borderId="18" xfId="48" applyBorder="1" applyAlignment="1">
      <alignment horizontal="right"/>
    </xf>
    <xf numFmtId="0" fontId="10" fillId="0" borderId="27" xfId="48" quotePrefix="1" applyBorder="1" applyAlignment="1">
      <alignment horizontal="right"/>
    </xf>
    <xf numFmtId="0" fontId="10" fillId="0" borderId="27" xfId="48" applyFill="1" applyBorder="1" applyAlignment="1">
      <alignment horizontal="left"/>
    </xf>
    <xf numFmtId="0" fontId="10" fillId="0" borderId="27" xfId="48" quotePrefix="1" applyFill="1" applyBorder="1" applyAlignment="1">
      <alignment horizontal="left"/>
    </xf>
    <xf numFmtId="0" fontId="10" fillId="0" borderId="14" xfId="48" applyFill="1" applyBorder="1" applyAlignment="1">
      <alignment horizontal="center"/>
    </xf>
    <xf numFmtId="0" fontId="10" fillId="0" borderId="30" xfId="48" applyFill="1" applyBorder="1" applyAlignment="1">
      <alignment horizontal="center"/>
    </xf>
    <xf numFmtId="0" fontId="10" fillId="0" borderId="13" xfId="48" applyFill="1" applyBorder="1" applyAlignment="1">
      <alignment horizontal="center"/>
    </xf>
    <xf numFmtId="0" fontId="56" fillId="0" borderId="0" xfId="48" applyFont="1" applyBorder="1" applyAlignment="1">
      <alignment horizontal="center"/>
    </xf>
    <xf numFmtId="0" fontId="10" fillId="0" borderId="0" xfId="48" applyBorder="1" applyAlignment="1">
      <alignment horizontal="center"/>
    </xf>
    <xf numFmtId="0" fontId="10" fillId="0" borderId="25" xfId="48" applyBorder="1" applyAlignment="1">
      <alignment horizontal="right"/>
    </xf>
    <xf numFmtId="0" fontId="10" fillId="0" borderId="26" xfId="48" applyBorder="1" applyAlignment="1">
      <alignment horizontal="right"/>
    </xf>
    <xf numFmtId="0" fontId="10" fillId="0" borderId="26" xfId="48" applyFill="1" applyBorder="1" applyAlignment="1">
      <alignment horizontal="left"/>
    </xf>
    <xf numFmtId="0" fontId="10" fillId="0" borderId="14" xfId="48" applyFill="1" applyBorder="1" applyAlignment="1">
      <alignment horizontal="left"/>
    </xf>
    <xf numFmtId="0" fontId="10" fillId="0" borderId="30" xfId="48" applyFill="1" applyBorder="1" applyAlignment="1">
      <alignment horizontal="left"/>
    </xf>
    <xf numFmtId="0" fontId="10" fillId="0" borderId="13" xfId="48" applyFill="1" applyBorder="1" applyAlignment="1">
      <alignment horizontal="left"/>
    </xf>
    <xf numFmtId="0" fontId="10" fillId="0" borderId="16" xfId="48" quotePrefix="1" applyBorder="1" applyAlignment="1">
      <alignment horizontal="right"/>
    </xf>
    <xf numFmtId="0" fontId="10" fillId="0" borderId="0" xfId="48" quotePrefix="1" applyBorder="1" applyAlignment="1">
      <alignment horizontal="right"/>
    </xf>
    <xf numFmtId="0" fontId="10" fillId="0" borderId="0" xfId="48" applyFill="1" applyBorder="1" applyAlignment="1">
      <alignment horizontal="left"/>
    </xf>
    <xf numFmtId="49" fontId="8" fillId="0" borderId="11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49" fontId="6" fillId="24" borderId="25" xfId="0" applyNumberFormat="1" applyFont="1" applyFill="1" applyBorder="1" applyAlignment="1">
      <alignment horizontal="left" vertical="center"/>
    </xf>
    <xf numFmtId="49" fontId="6" fillId="24" borderId="26" xfId="0" applyNumberFormat="1" applyFont="1" applyFill="1" applyBorder="1" applyAlignment="1">
      <alignment horizontal="left" vertical="center"/>
    </xf>
    <xf numFmtId="49" fontId="6" fillId="24" borderId="28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51" fillId="35" borderId="0" xfId="0" applyFont="1" applyFill="1" applyAlignment="1">
      <alignment horizontal="center" vertical="center"/>
    </xf>
    <xf numFmtId="0" fontId="51" fillId="35" borderId="0" xfId="0" applyFont="1" applyFill="1" applyAlignment="1">
      <alignment horizontal="left" vertical="center"/>
    </xf>
    <xf numFmtId="0" fontId="51" fillId="36" borderId="0" xfId="0" applyFont="1" applyFill="1" applyAlignment="1">
      <alignment horizontal="center" vertical="center"/>
    </xf>
    <xf numFmtId="0" fontId="2" fillId="0" borderId="151" xfId="0" applyFont="1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0" fontId="60" fillId="54" borderId="143" xfId="49" applyFont="1" applyFill="1" applyBorder="1" applyAlignment="1">
      <alignment horizontal="center" vertical="center" wrapText="1"/>
    </xf>
    <xf numFmtId="0" fontId="60" fillId="54" borderId="144" xfId="49" applyFont="1" applyFill="1" applyBorder="1" applyAlignment="1">
      <alignment horizontal="center" vertical="center" wrapText="1"/>
    </xf>
    <xf numFmtId="0" fontId="63" fillId="0" borderId="0" xfId="51" applyFont="1" applyAlignment="1">
      <alignment horizontal="center"/>
    </xf>
    <xf numFmtId="0" fontId="81" fillId="24" borderId="165" xfId="51" applyFont="1" applyFill="1" applyBorder="1" applyAlignment="1">
      <alignment horizontal="center" vertical="center"/>
    </xf>
    <xf numFmtId="0" fontId="2" fillId="0" borderId="171" xfId="51" applyFont="1" applyBorder="1" applyAlignment="1">
      <alignment vertical="center"/>
    </xf>
    <xf numFmtId="0" fontId="2" fillId="0" borderId="176" xfId="51" applyFont="1" applyBorder="1" applyAlignment="1">
      <alignment vertical="center"/>
    </xf>
    <xf numFmtId="0" fontId="81" fillId="24" borderId="166" xfId="51" applyFont="1" applyFill="1" applyBorder="1" applyAlignment="1">
      <alignment horizontal="center" vertical="center"/>
    </xf>
    <xf numFmtId="0" fontId="81" fillId="24" borderId="24" xfId="51" applyFont="1" applyFill="1" applyBorder="1" applyAlignment="1">
      <alignment horizontal="center" vertical="center"/>
    </xf>
    <xf numFmtId="0" fontId="81" fillId="24" borderId="166" xfId="51" applyFont="1" applyFill="1" applyBorder="1" applyAlignment="1">
      <alignment horizontal="center" vertical="center" wrapText="1"/>
    </xf>
    <xf numFmtId="0" fontId="2" fillId="0" borderId="24" xfId="51" applyFont="1" applyBorder="1" applyAlignment="1">
      <alignment vertical="center" wrapText="1"/>
    </xf>
    <xf numFmtId="0" fontId="2" fillId="0" borderId="177" xfId="51" applyFont="1" applyBorder="1" applyAlignment="1">
      <alignment vertical="center" wrapText="1"/>
    </xf>
    <xf numFmtId="0" fontId="81" fillId="24" borderId="167" xfId="51" applyFont="1" applyFill="1" applyBorder="1" applyAlignment="1">
      <alignment horizontal="center" vertical="center" wrapText="1"/>
    </xf>
    <xf numFmtId="0" fontId="2" fillId="0" borderId="0" xfId="51" applyFont="1" applyBorder="1" applyAlignment="1">
      <alignment vertical="center" wrapText="1"/>
    </xf>
    <xf numFmtId="0" fontId="2" fillId="0" borderId="178" xfId="51" applyFont="1" applyBorder="1" applyAlignment="1">
      <alignment vertical="center" wrapText="1"/>
    </xf>
    <xf numFmtId="173" fontId="81" fillId="24" borderId="166" xfId="36" applyNumberFormat="1" applyFont="1" applyFill="1" applyBorder="1" applyAlignment="1">
      <alignment horizontal="center" vertical="center" wrapText="1"/>
    </xf>
    <xf numFmtId="173" fontId="81" fillId="24" borderId="24" xfId="36" applyNumberFormat="1" applyFont="1" applyFill="1" applyBorder="1" applyAlignment="1">
      <alignment horizontal="center" vertical="center" wrapText="1"/>
    </xf>
    <xf numFmtId="173" fontId="81" fillId="24" borderId="177" xfId="36" applyNumberFormat="1" applyFont="1" applyFill="1" applyBorder="1" applyAlignment="1">
      <alignment horizontal="center" vertical="center" wrapText="1"/>
    </xf>
    <xf numFmtId="173" fontId="81" fillId="24" borderId="168" xfId="36" applyNumberFormat="1" applyFont="1" applyFill="1" applyBorder="1" applyAlignment="1">
      <alignment horizontal="center" vertical="center" wrapText="1"/>
    </xf>
    <xf numFmtId="173" fontId="81" fillId="24" borderId="169" xfId="36" applyNumberFormat="1" applyFont="1" applyFill="1" applyBorder="1" applyAlignment="1">
      <alignment horizontal="center" vertical="center" wrapText="1"/>
    </xf>
    <xf numFmtId="173" fontId="81" fillId="24" borderId="16" xfId="36" applyNumberFormat="1" applyFont="1" applyFill="1" applyBorder="1" applyAlignment="1">
      <alignment horizontal="center" vertical="center" wrapText="1"/>
    </xf>
    <xf numFmtId="173" fontId="81" fillId="24" borderId="17" xfId="36" applyNumberFormat="1" applyFont="1" applyFill="1" applyBorder="1" applyAlignment="1">
      <alignment horizontal="center" vertical="center" wrapText="1"/>
    </xf>
    <xf numFmtId="173" fontId="81" fillId="24" borderId="179" xfId="36" applyNumberFormat="1" applyFont="1" applyFill="1" applyBorder="1" applyAlignment="1">
      <alignment horizontal="center" vertical="center" wrapText="1"/>
    </xf>
    <xf numFmtId="173" fontId="81" fillId="24" borderId="180" xfId="36" applyNumberFormat="1" applyFont="1" applyFill="1" applyBorder="1" applyAlignment="1">
      <alignment horizontal="center" vertical="center" wrapText="1"/>
    </xf>
    <xf numFmtId="0" fontId="2" fillId="0" borderId="24" xfId="51" applyBorder="1" applyAlignment="1">
      <alignment horizontal="center" vertical="center"/>
    </xf>
    <xf numFmtId="0" fontId="2" fillId="0" borderId="177" xfId="51" applyBorder="1" applyAlignment="1">
      <alignment horizontal="center" vertical="center"/>
    </xf>
    <xf numFmtId="0" fontId="81" fillId="24" borderId="168" xfId="51" applyFont="1" applyFill="1" applyBorder="1" applyAlignment="1">
      <alignment horizontal="center" vertical="center" wrapText="1"/>
    </xf>
    <xf numFmtId="0" fontId="2" fillId="0" borderId="16" xfId="51" applyFont="1" applyBorder="1" applyAlignment="1">
      <alignment vertical="center" wrapText="1"/>
    </xf>
    <xf numFmtId="0" fontId="2" fillId="0" borderId="179" xfId="51" applyFont="1" applyBorder="1" applyAlignment="1">
      <alignment vertical="center" wrapText="1"/>
    </xf>
    <xf numFmtId="0" fontId="81" fillId="24" borderId="170" xfId="51" applyFont="1" applyFill="1" applyBorder="1" applyAlignment="1">
      <alignment horizontal="center" vertical="center" wrapText="1"/>
    </xf>
    <xf numFmtId="0" fontId="81" fillId="24" borderId="16" xfId="51" applyFont="1" applyFill="1" applyBorder="1" applyAlignment="1">
      <alignment horizontal="center" vertical="center" wrapText="1"/>
    </xf>
    <xf numFmtId="0" fontId="81" fillId="24" borderId="175" xfId="51" applyFont="1" applyFill="1" applyBorder="1" applyAlignment="1">
      <alignment horizontal="center" vertical="center" wrapText="1"/>
    </xf>
    <xf numFmtId="0" fontId="81" fillId="24" borderId="179" xfId="51" applyFont="1" applyFill="1" applyBorder="1" applyAlignment="1">
      <alignment horizontal="center" vertical="center" wrapText="1"/>
    </xf>
    <xf numFmtId="0" fontId="81" fillId="24" borderId="183" xfId="51" applyFont="1" applyFill="1" applyBorder="1" applyAlignment="1">
      <alignment horizontal="center" vertical="center" wrapText="1"/>
    </xf>
    <xf numFmtId="173" fontId="81" fillId="24" borderId="172" xfId="36" applyNumberFormat="1" applyFont="1" applyFill="1" applyBorder="1" applyAlignment="1">
      <alignment horizontal="center" vertical="center" wrapText="1"/>
    </xf>
    <xf numFmtId="173" fontId="81" fillId="24" borderId="181" xfId="36" applyNumberFormat="1" applyFont="1" applyFill="1" applyBorder="1" applyAlignment="1">
      <alignment horizontal="center" vertical="center" wrapText="1"/>
    </xf>
    <xf numFmtId="173" fontId="81" fillId="24" borderId="173" xfId="36" applyNumberFormat="1" applyFont="1" applyFill="1" applyBorder="1" applyAlignment="1">
      <alignment horizontal="center" vertical="center" wrapText="1"/>
    </xf>
    <xf numFmtId="173" fontId="81" fillId="24" borderId="182" xfId="36" applyNumberFormat="1" applyFont="1" applyFill="1" applyBorder="1" applyAlignment="1">
      <alignment horizontal="center" vertical="center" wrapText="1"/>
    </xf>
    <xf numFmtId="173" fontId="81" fillId="24" borderId="174" xfId="36" applyNumberFormat="1" applyFont="1" applyFill="1" applyBorder="1" applyAlignment="1">
      <alignment horizontal="center" vertical="center" wrapText="1"/>
    </xf>
    <xf numFmtId="173" fontId="81" fillId="24" borderId="167" xfId="36" applyNumberFormat="1" applyFont="1" applyFill="1" applyBorder="1" applyAlignment="1">
      <alignment horizontal="center" vertical="center" wrapText="1"/>
    </xf>
    <xf numFmtId="0" fontId="2" fillId="0" borderId="24" xfId="51" applyBorder="1" applyAlignment="1">
      <alignment horizontal="center"/>
    </xf>
    <xf numFmtId="0" fontId="2" fillId="0" borderId="177" xfId="51" applyBorder="1" applyAlignment="1">
      <alignment horizontal="center"/>
    </xf>
    <xf numFmtId="0" fontId="83" fillId="0" borderId="201" xfId="52" applyFont="1" applyFill="1" applyBorder="1" applyAlignment="1">
      <alignment horizontal="center" vertical="center" shrinkToFit="1"/>
    </xf>
    <xf numFmtId="0" fontId="83" fillId="0" borderId="192" xfId="52" applyFont="1" applyFill="1" applyBorder="1" applyAlignment="1">
      <alignment horizontal="center" vertical="center" shrinkToFit="1"/>
    </xf>
    <xf numFmtId="4" fontId="84" fillId="0" borderId="24" xfId="31" applyNumberFormat="1" applyFont="1" applyBorder="1" applyAlignment="1">
      <alignment horizontal="center" vertical="center" wrapText="1"/>
    </xf>
    <xf numFmtId="4" fontId="84" fillId="0" borderId="193" xfId="31" applyNumberFormat="1" applyFont="1" applyBorder="1" applyAlignment="1">
      <alignment horizontal="center" vertical="center" wrapText="1"/>
    </xf>
    <xf numFmtId="40" fontId="82" fillId="0" borderId="185" xfId="36" applyNumberFormat="1" applyFont="1" applyBorder="1" applyAlignment="1">
      <alignment horizontal="center" vertical="center" wrapText="1"/>
    </xf>
    <xf numFmtId="40" fontId="82" fillId="0" borderId="194" xfId="36" applyNumberFormat="1" applyFont="1" applyBorder="1" applyAlignment="1">
      <alignment horizontal="center" vertical="center" wrapText="1"/>
    </xf>
    <xf numFmtId="4" fontId="83" fillId="0" borderId="185" xfId="31" applyNumberFormat="1" applyFont="1" applyFill="1" applyBorder="1" applyAlignment="1">
      <alignment horizontal="center" vertical="center"/>
    </xf>
    <xf numFmtId="4" fontId="83" fillId="0" borderId="194" xfId="31" applyNumberFormat="1" applyFont="1" applyFill="1" applyBorder="1" applyAlignment="1">
      <alignment horizontal="center" vertical="center"/>
    </xf>
    <xf numFmtId="37" fontId="82" fillId="0" borderId="191" xfId="36" applyNumberFormat="1" applyFont="1" applyBorder="1" applyAlignment="1">
      <alignment horizontal="center" vertical="center" wrapText="1"/>
    </xf>
    <xf numFmtId="37" fontId="82" fillId="0" borderId="193" xfId="36" applyNumberFormat="1" applyFont="1" applyBorder="1" applyAlignment="1">
      <alignment horizontal="center" vertical="center" wrapText="1"/>
    </xf>
    <xf numFmtId="174" fontId="82" fillId="0" borderId="202" xfId="36" applyNumberFormat="1" applyFont="1" applyBorder="1" applyAlignment="1">
      <alignment horizontal="center" vertical="center" wrapText="1"/>
    </xf>
    <xf numFmtId="174" fontId="82" fillId="0" borderId="195" xfId="36" applyNumberFormat="1" applyFont="1" applyBorder="1" applyAlignment="1">
      <alignment horizontal="center" vertical="center" wrapText="1"/>
    </xf>
    <xf numFmtId="37" fontId="82" fillId="0" borderId="188" xfId="36" applyNumberFormat="1" applyFont="1" applyFill="1" applyBorder="1" applyAlignment="1">
      <alignment horizontal="center" vertical="center" wrapText="1"/>
    </xf>
    <xf numFmtId="37" fontId="82" fillId="0" borderId="197" xfId="36" applyNumberFormat="1" applyFont="1" applyFill="1" applyBorder="1" applyAlignment="1">
      <alignment horizontal="center" vertical="center" wrapText="1"/>
    </xf>
    <xf numFmtId="37" fontId="82" fillId="0" borderId="166" xfId="36" applyNumberFormat="1" applyFont="1" applyBorder="1" applyAlignment="1">
      <alignment horizontal="center" vertical="center" wrapText="1"/>
    </xf>
    <xf numFmtId="174" fontId="82" fillId="0" borderId="168" xfId="36" applyNumberFormat="1" applyFont="1" applyBorder="1" applyAlignment="1">
      <alignment horizontal="center" vertical="center" wrapText="1"/>
    </xf>
    <xf numFmtId="175" fontId="83" fillId="0" borderId="187" xfId="36" applyNumberFormat="1" applyFont="1" applyFill="1" applyBorder="1" applyAlignment="1">
      <alignment horizontal="center" vertical="center" wrapText="1"/>
    </xf>
    <xf numFmtId="175" fontId="83" fillId="0" borderId="196" xfId="36" applyNumberFormat="1" applyFont="1" applyFill="1" applyBorder="1" applyAlignment="1">
      <alignment horizontal="center" vertical="center" wrapText="1"/>
    </xf>
    <xf numFmtId="37" fontId="82" fillId="0" borderId="166" xfId="36" applyNumberFormat="1" applyFont="1" applyFill="1" applyBorder="1" applyAlignment="1">
      <alignment horizontal="center" vertical="center" wrapText="1"/>
    </xf>
    <xf numFmtId="37" fontId="82" fillId="0" borderId="193" xfId="36" applyNumberFormat="1" applyFont="1" applyFill="1" applyBorder="1" applyAlignment="1">
      <alignment horizontal="center" vertical="center" wrapText="1"/>
    </xf>
    <xf numFmtId="176" fontId="83" fillId="0" borderId="186" xfId="31" applyNumberFormat="1" applyFont="1" applyFill="1" applyBorder="1" applyAlignment="1">
      <alignment horizontal="center" vertical="center"/>
    </xf>
    <xf numFmtId="176" fontId="83" fillId="0" borderId="194" xfId="31" applyNumberFormat="1" applyFont="1" applyFill="1" applyBorder="1" applyAlignment="1">
      <alignment horizontal="center" vertical="center"/>
    </xf>
    <xf numFmtId="0" fontId="83" fillId="0" borderId="184" xfId="52" applyFont="1" applyFill="1" applyBorder="1" applyAlignment="1">
      <alignment horizontal="center" vertical="center" shrinkToFit="1"/>
    </xf>
    <xf numFmtId="4" fontId="83" fillId="0" borderId="186" xfId="31" applyNumberFormat="1" applyFont="1" applyFill="1" applyBorder="1" applyAlignment="1">
      <alignment horizontal="center" vertical="center"/>
    </xf>
    <xf numFmtId="39" fontId="85" fillId="0" borderId="204" xfId="36" applyNumberFormat="1" applyFont="1" applyBorder="1" applyAlignment="1">
      <alignment horizontal="center" vertical="center" wrapText="1"/>
    </xf>
    <xf numFmtId="39" fontId="85" fillId="0" borderId="205" xfId="36" applyNumberFormat="1" applyFont="1" applyBorder="1" applyAlignment="1">
      <alignment horizontal="center" vertical="center" wrapText="1"/>
    </xf>
    <xf numFmtId="175" fontId="83" fillId="0" borderId="203" xfId="36" applyNumberFormat="1" applyFont="1" applyFill="1" applyBorder="1" applyAlignment="1">
      <alignment horizontal="center" vertical="center" wrapText="1"/>
    </xf>
    <xf numFmtId="37" fontId="82" fillId="0" borderId="191" xfId="36" applyNumberFormat="1" applyFont="1" applyFill="1" applyBorder="1" applyAlignment="1">
      <alignment horizontal="center" vertical="center" wrapText="1"/>
    </xf>
    <xf numFmtId="176" fontId="83" fillId="0" borderId="185" xfId="31" applyNumberFormat="1" applyFont="1" applyFill="1" applyBorder="1" applyAlignment="1">
      <alignment horizontal="center" vertical="center"/>
    </xf>
    <xf numFmtId="174" fontId="83" fillId="0" borderId="198" xfId="36" applyNumberFormat="1" applyFont="1" applyFill="1" applyBorder="1" applyAlignment="1">
      <alignment horizontal="center" vertical="center" wrapText="1"/>
    </xf>
    <xf numFmtId="177" fontId="82" fillId="0" borderId="191" xfId="36" applyNumberFormat="1" applyFont="1" applyBorder="1" applyAlignment="1">
      <alignment horizontal="center" vertical="center" wrapText="1"/>
    </xf>
    <xf numFmtId="177" fontId="82" fillId="0" borderId="193" xfId="36" applyNumberFormat="1" applyFont="1" applyBorder="1" applyAlignment="1">
      <alignment horizontal="center" vertical="center" wrapText="1"/>
    </xf>
    <xf numFmtId="39" fontId="85" fillId="0" borderId="168" xfId="36" applyNumberFormat="1" applyFont="1" applyBorder="1" applyAlignment="1">
      <alignment horizontal="center" vertical="center" wrapText="1"/>
    </xf>
    <xf numFmtId="39" fontId="85" fillId="0" borderId="170" xfId="36" applyNumberFormat="1" applyFont="1" applyBorder="1" applyAlignment="1">
      <alignment horizontal="center" vertical="center" wrapText="1"/>
    </xf>
    <xf numFmtId="39" fontId="85" fillId="0" borderId="195" xfId="36" applyNumberFormat="1" applyFont="1" applyBorder="1" applyAlignment="1">
      <alignment horizontal="center" vertical="center" wrapText="1"/>
    </xf>
    <xf numFmtId="39" fontId="85" fillId="0" borderId="200" xfId="36" applyNumberFormat="1" applyFont="1" applyBorder="1" applyAlignment="1">
      <alignment horizontal="center" vertical="center" wrapText="1"/>
    </xf>
    <xf numFmtId="174" fontId="83" fillId="0" borderId="189" xfId="36" applyNumberFormat="1" applyFont="1" applyFill="1" applyBorder="1" applyAlignment="1">
      <alignment horizontal="center" vertical="center" wrapText="1"/>
    </xf>
    <xf numFmtId="175" fontId="83" fillId="0" borderId="190" xfId="36" applyNumberFormat="1" applyFont="1" applyFill="1" applyBorder="1" applyAlignment="1">
      <alignment horizontal="center" vertical="center" wrapText="1"/>
    </xf>
    <xf numFmtId="175" fontId="83" fillId="0" borderId="199" xfId="36" applyNumberFormat="1" applyFont="1" applyFill="1" applyBorder="1" applyAlignment="1">
      <alignment horizontal="center" vertical="center" wrapText="1"/>
    </xf>
    <xf numFmtId="175" fontId="82" fillId="0" borderId="191" xfId="36" applyNumberFormat="1" applyFont="1" applyBorder="1" applyAlignment="1">
      <alignment horizontal="center" vertical="center" wrapText="1"/>
    </xf>
    <xf numFmtId="175" fontId="82" fillId="0" borderId="193" xfId="36" applyNumberFormat="1" applyFont="1" applyBorder="1" applyAlignment="1">
      <alignment horizontal="center" vertical="center" wrapText="1"/>
    </xf>
    <xf numFmtId="40" fontId="82" fillId="0" borderId="24" xfId="36" applyNumberFormat="1" applyFont="1" applyBorder="1" applyAlignment="1">
      <alignment horizontal="center" vertical="center" wrapText="1"/>
    </xf>
    <xf numFmtId="40" fontId="82" fillId="0" borderId="193" xfId="36" applyNumberFormat="1" applyFont="1" applyBorder="1" applyAlignment="1">
      <alignment horizontal="center" vertical="center" wrapText="1"/>
    </xf>
    <xf numFmtId="0" fontId="83" fillId="45" borderId="201" xfId="52" applyFont="1" applyFill="1" applyBorder="1" applyAlignment="1">
      <alignment horizontal="center" vertical="center" shrinkToFit="1"/>
    </xf>
    <xf numFmtId="0" fontId="83" fillId="45" borderId="206" xfId="52" applyFont="1" applyFill="1" applyBorder="1" applyAlignment="1">
      <alignment horizontal="center" vertical="center" shrinkToFit="1"/>
    </xf>
    <xf numFmtId="4" fontId="84" fillId="45" borderId="24" xfId="31" applyNumberFormat="1" applyFont="1" applyFill="1" applyBorder="1" applyAlignment="1">
      <alignment horizontal="center" vertical="center" wrapText="1"/>
    </xf>
    <xf numFmtId="4" fontId="84" fillId="45" borderId="177" xfId="31" applyNumberFormat="1" applyFont="1" applyFill="1" applyBorder="1" applyAlignment="1">
      <alignment horizontal="center" vertical="center" wrapText="1"/>
    </xf>
    <xf numFmtId="40" fontId="82" fillId="45" borderId="185" xfId="36" applyNumberFormat="1" applyFont="1" applyFill="1" applyBorder="1" applyAlignment="1">
      <alignment horizontal="center" vertical="center" wrapText="1"/>
    </xf>
    <xf numFmtId="40" fontId="82" fillId="45" borderId="207" xfId="36" applyNumberFormat="1" applyFont="1" applyFill="1" applyBorder="1" applyAlignment="1">
      <alignment horizontal="center" vertical="center" wrapText="1"/>
    </xf>
    <xf numFmtId="4" fontId="83" fillId="45" borderId="185" xfId="31" applyNumberFormat="1" applyFont="1" applyFill="1" applyBorder="1" applyAlignment="1">
      <alignment horizontal="center" vertical="center"/>
    </xf>
    <xf numFmtId="4" fontId="83" fillId="45" borderId="207" xfId="31" applyNumberFormat="1" applyFont="1" applyFill="1" applyBorder="1" applyAlignment="1">
      <alignment horizontal="center" vertical="center"/>
    </xf>
    <xf numFmtId="37" fontId="82" fillId="45" borderId="191" xfId="36" applyNumberFormat="1" applyFont="1" applyFill="1" applyBorder="1" applyAlignment="1">
      <alignment horizontal="center" vertical="center" wrapText="1"/>
    </xf>
    <xf numFmtId="37" fontId="82" fillId="45" borderId="177" xfId="36" applyNumberFormat="1" applyFont="1" applyFill="1" applyBorder="1" applyAlignment="1">
      <alignment horizontal="center" vertical="center" wrapText="1"/>
    </xf>
    <xf numFmtId="0" fontId="2" fillId="0" borderId="32" xfId="51" applyFont="1" applyBorder="1" applyAlignment="1">
      <alignment horizontal="center" vertical="center"/>
    </xf>
    <xf numFmtId="0" fontId="2" fillId="0" borderId="0" xfId="51" applyAlignment="1">
      <alignment horizontal="center" vertical="center"/>
    </xf>
    <xf numFmtId="0" fontId="2" fillId="0" borderId="32" xfId="51" applyBorder="1" applyAlignment="1">
      <alignment horizontal="center" vertical="center"/>
    </xf>
    <xf numFmtId="173" fontId="2" fillId="0" borderId="32" xfId="36" applyNumberFormat="1" applyFont="1" applyBorder="1" applyAlignment="1">
      <alignment horizontal="center" vertical="center"/>
    </xf>
    <xf numFmtId="173" fontId="2" fillId="0" borderId="32" xfId="36" applyNumberFormat="1" applyBorder="1" applyAlignment="1">
      <alignment horizontal="center" vertical="center"/>
    </xf>
    <xf numFmtId="173" fontId="2" fillId="0" borderId="0" xfId="36" applyNumberFormat="1" applyBorder="1" applyAlignment="1">
      <alignment horizontal="center" vertical="center"/>
    </xf>
    <xf numFmtId="39" fontId="85" fillId="45" borderId="204" xfId="36" applyNumberFormat="1" applyFont="1" applyFill="1" applyBorder="1" applyAlignment="1">
      <alignment horizontal="center" vertical="center" wrapText="1"/>
    </xf>
    <xf numFmtId="39" fontId="85" fillId="45" borderId="205" xfId="36" applyNumberFormat="1" applyFont="1" applyFill="1" applyBorder="1" applyAlignment="1">
      <alignment horizontal="center" vertical="center" wrapText="1"/>
    </xf>
    <xf numFmtId="39" fontId="85" fillId="45" borderId="212" xfId="36" applyNumberFormat="1" applyFont="1" applyFill="1" applyBorder="1" applyAlignment="1">
      <alignment horizontal="center" vertical="center" wrapText="1"/>
    </xf>
    <xf numFmtId="39" fontId="85" fillId="45" borderId="213" xfId="36" applyNumberFormat="1" applyFont="1" applyFill="1" applyBorder="1" applyAlignment="1">
      <alignment horizontal="center" vertical="center" wrapText="1"/>
    </xf>
    <xf numFmtId="0" fontId="2" fillId="0" borderId="173" xfId="51" applyBorder="1" applyAlignment="1">
      <alignment horizontal="center" vertical="center"/>
    </xf>
    <xf numFmtId="0" fontId="2" fillId="0" borderId="214" xfId="51" applyBorder="1" applyAlignment="1">
      <alignment horizontal="center" vertical="center"/>
    </xf>
    <xf numFmtId="0" fontId="2" fillId="0" borderId="215" xfId="51" applyBorder="1" applyAlignment="1">
      <alignment horizontal="center" vertical="center"/>
    </xf>
    <xf numFmtId="0" fontId="2" fillId="0" borderId="31" xfId="51" applyBorder="1" applyAlignment="1">
      <alignment horizontal="center" vertical="center"/>
    </xf>
    <xf numFmtId="0" fontId="2" fillId="0" borderId="33" xfId="51" applyBorder="1" applyAlignment="1">
      <alignment horizontal="center" vertical="center"/>
    </xf>
    <xf numFmtId="0" fontId="2" fillId="0" borderId="34" xfId="51" applyBorder="1" applyAlignment="1">
      <alignment horizontal="center" vertical="center"/>
    </xf>
    <xf numFmtId="0" fontId="2" fillId="0" borderId="0" xfId="51" applyBorder="1" applyAlignment="1">
      <alignment horizontal="center" vertical="center"/>
    </xf>
    <xf numFmtId="0" fontId="2" fillId="0" borderId="35" xfId="51" applyBorder="1" applyAlignment="1">
      <alignment horizontal="center" vertical="center"/>
    </xf>
    <xf numFmtId="0" fontId="2" fillId="0" borderId="36" xfId="51" applyBorder="1" applyAlignment="1">
      <alignment horizontal="center" vertical="center"/>
    </xf>
    <xf numFmtId="0" fontId="2" fillId="0" borderId="37" xfId="51" applyBorder="1" applyAlignment="1">
      <alignment horizontal="center" vertical="center"/>
    </xf>
    <xf numFmtId="0" fontId="2" fillId="0" borderId="38" xfId="51" applyBorder="1" applyAlignment="1">
      <alignment horizontal="center" vertical="center"/>
    </xf>
    <xf numFmtId="174" fontId="83" fillId="45" borderId="198" xfId="36" applyNumberFormat="1" applyFont="1" applyFill="1" applyBorder="1" applyAlignment="1">
      <alignment horizontal="center" vertical="center" wrapText="1"/>
    </xf>
    <xf numFmtId="174" fontId="83" fillId="45" borderId="211" xfId="36" applyNumberFormat="1" applyFont="1" applyFill="1" applyBorder="1" applyAlignment="1">
      <alignment horizontal="center" vertical="center" wrapText="1"/>
    </xf>
    <xf numFmtId="175" fontId="83" fillId="45" borderId="199" xfId="36" applyNumberFormat="1" applyFont="1" applyFill="1" applyBorder="1" applyAlignment="1">
      <alignment horizontal="center" vertical="center" wrapText="1"/>
    </xf>
    <xf numFmtId="175" fontId="83" fillId="45" borderId="209" xfId="36" applyNumberFormat="1" applyFont="1" applyFill="1" applyBorder="1" applyAlignment="1">
      <alignment horizontal="center" vertical="center" wrapText="1"/>
    </xf>
    <xf numFmtId="175" fontId="82" fillId="45" borderId="191" xfId="36" applyNumberFormat="1" applyFont="1" applyFill="1" applyBorder="1" applyAlignment="1">
      <alignment horizontal="center" vertical="center" wrapText="1"/>
    </xf>
    <xf numFmtId="175" fontId="82" fillId="45" borderId="177" xfId="36" applyNumberFormat="1" applyFont="1" applyFill="1" applyBorder="1" applyAlignment="1">
      <alignment horizontal="center" vertical="center" wrapText="1"/>
    </xf>
    <xf numFmtId="177" fontId="82" fillId="45" borderId="191" xfId="36" applyNumberFormat="1" applyFont="1" applyFill="1" applyBorder="1" applyAlignment="1">
      <alignment horizontal="center" vertical="center" wrapText="1"/>
    </xf>
    <xf numFmtId="177" fontId="82" fillId="45" borderId="177" xfId="36" applyNumberFormat="1" applyFont="1" applyFill="1" applyBorder="1" applyAlignment="1">
      <alignment horizontal="center" vertical="center" wrapText="1"/>
    </xf>
    <xf numFmtId="174" fontId="82" fillId="45" borderId="202" xfId="36" applyNumberFormat="1" applyFont="1" applyFill="1" applyBorder="1" applyAlignment="1">
      <alignment horizontal="center" vertical="center" wrapText="1"/>
    </xf>
    <xf numFmtId="174" fontId="82" fillId="45" borderId="179" xfId="36" applyNumberFormat="1" applyFont="1" applyFill="1" applyBorder="1" applyAlignment="1">
      <alignment horizontal="center" vertical="center" wrapText="1"/>
    </xf>
    <xf numFmtId="175" fontId="83" fillId="45" borderId="203" xfId="36" applyNumberFormat="1" applyFont="1" applyFill="1" applyBorder="1" applyAlignment="1">
      <alignment horizontal="center" vertical="center" wrapText="1"/>
    </xf>
    <xf numFmtId="175" fontId="83" fillId="45" borderId="208" xfId="36" applyNumberFormat="1" applyFont="1" applyFill="1" applyBorder="1" applyAlignment="1">
      <alignment horizontal="center" vertical="center" wrapText="1"/>
    </xf>
    <xf numFmtId="37" fontId="82" fillId="45" borderId="197" xfId="36" applyNumberFormat="1" applyFont="1" applyFill="1" applyBorder="1" applyAlignment="1">
      <alignment horizontal="center" vertical="center" wrapText="1"/>
    </xf>
    <xf numFmtId="37" fontId="82" fillId="45" borderId="210" xfId="36" applyNumberFormat="1" applyFont="1" applyFill="1" applyBorder="1" applyAlignment="1">
      <alignment horizontal="center" vertical="center" wrapText="1"/>
    </xf>
    <xf numFmtId="0" fontId="2" fillId="0" borderId="175" xfId="51" applyFont="1" applyBorder="1" applyAlignment="1">
      <alignment vertical="center" wrapText="1"/>
    </xf>
    <xf numFmtId="0" fontId="2" fillId="0" borderId="183" xfId="51" applyFont="1" applyBorder="1" applyAlignment="1">
      <alignment vertical="center" wrapText="1"/>
    </xf>
    <xf numFmtId="0" fontId="89" fillId="24" borderId="150" xfId="51" applyFont="1" applyFill="1" applyBorder="1" applyAlignment="1">
      <alignment horizontal="center" vertical="center"/>
    </xf>
    <xf numFmtId="0" fontId="81" fillId="24" borderId="157" xfId="51" applyFont="1" applyFill="1" applyBorder="1" applyAlignment="1">
      <alignment horizontal="center" vertical="center" wrapText="1"/>
    </xf>
    <xf numFmtId="0" fontId="81" fillId="24" borderId="177" xfId="51" applyFont="1" applyFill="1" applyBorder="1" applyAlignment="1">
      <alignment horizontal="center" vertical="center" wrapText="1"/>
    </xf>
    <xf numFmtId="0" fontId="2" fillId="0" borderId="177" xfId="51" applyBorder="1" applyAlignment="1">
      <alignment horizontal="center" vertical="center" wrapText="1"/>
    </xf>
    <xf numFmtId="0" fontId="81" fillId="24" borderId="157" xfId="51" applyFont="1" applyFill="1" applyBorder="1" applyAlignment="1">
      <alignment horizontal="center" vertical="center"/>
    </xf>
    <xf numFmtId="173" fontId="81" fillId="24" borderId="157" xfId="36" applyNumberFormat="1" applyFont="1" applyFill="1" applyBorder="1" applyAlignment="1">
      <alignment horizontal="center" vertical="center" wrapText="1"/>
    </xf>
    <xf numFmtId="0" fontId="83" fillId="0" borderId="217" xfId="52" applyFont="1" applyFill="1" applyBorder="1" applyAlignment="1">
      <alignment horizontal="center" vertical="center" shrinkToFit="1"/>
    </xf>
    <xf numFmtId="0" fontId="83" fillId="0" borderId="222" xfId="52" applyFont="1" applyFill="1" applyBorder="1" applyAlignment="1">
      <alignment horizontal="center" vertical="center" shrinkToFit="1"/>
    </xf>
    <xf numFmtId="4" fontId="83" fillId="0" borderId="218" xfId="31" applyNumberFormat="1" applyFont="1" applyBorder="1" applyAlignment="1">
      <alignment horizontal="center" vertical="center" wrapText="1"/>
    </xf>
    <xf numFmtId="4" fontId="83" fillId="0" borderId="219" xfId="31" applyNumberFormat="1" applyFont="1" applyBorder="1" applyAlignment="1">
      <alignment horizontal="center" vertical="center" wrapText="1"/>
    </xf>
    <xf numFmtId="40" fontId="83" fillId="0" borderId="218" xfId="36" applyNumberFormat="1" applyFont="1" applyBorder="1" applyAlignment="1">
      <alignment horizontal="center" vertical="center" wrapText="1"/>
    </xf>
    <xf numFmtId="40" fontId="83" fillId="0" borderId="219" xfId="36" applyNumberFormat="1" applyFont="1" applyBorder="1" applyAlignment="1">
      <alignment horizontal="center" vertical="center" wrapText="1"/>
    </xf>
    <xf numFmtId="4" fontId="83" fillId="0" borderId="218" xfId="31" applyNumberFormat="1" applyFont="1" applyFill="1" applyBorder="1" applyAlignment="1">
      <alignment horizontal="center" vertical="center"/>
    </xf>
    <xf numFmtId="4" fontId="83" fillId="0" borderId="219" xfId="31" applyNumberFormat="1" applyFont="1" applyFill="1" applyBorder="1" applyAlignment="1">
      <alignment horizontal="center" vertical="center"/>
    </xf>
    <xf numFmtId="39" fontId="82" fillId="0" borderId="218" xfId="36" applyNumberFormat="1" applyFont="1" applyBorder="1" applyAlignment="1">
      <alignment horizontal="center" vertical="center"/>
    </xf>
    <xf numFmtId="39" fontId="82" fillId="0" borderId="219" xfId="36" applyNumberFormat="1" applyFont="1" applyBorder="1" applyAlignment="1">
      <alignment horizontal="center" vertical="center"/>
    </xf>
    <xf numFmtId="39" fontId="83" fillId="0" borderId="218" xfId="36" applyNumberFormat="1" applyFont="1" applyBorder="1" applyAlignment="1">
      <alignment horizontal="center" vertical="center" wrapText="1"/>
    </xf>
    <xf numFmtId="39" fontId="19" fillId="0" borderId="219" xfId="51" applyNumberFormat="1" applyFont="1" applyBorder="1" applyAlignment="1">
      <alignment horizontal="center" vertical="center" wrapText="1"/>
    </xf>
    <xf numFmtId="0" fontId="2" fillId="0" borderId="24" xfId="51" applyFont="1" applyBorder="1" applyAlignment="1">
      <alignment vertical="center"/>
    </xf>
    <xf numFmtId="0" fontId="2" fillId="0" borderId="177" xfId="51" applyFont="1" applyBorder="1" applyAlignment="1">
      <alignment vertical="center"/>
    </xf>
    <xf numFmtId="0" fontId="81" fillId="24" borderId="168" xfId="51" applyFont="1" applyFill="1" applyBorder="1" applyAlignment="1">
      <alignment horizontal="center"/>
    </xf>
    <xf numFmtId="0" fontId="81" fillId="24" borderId="167" xfId="51" applyFont="1" applyFill="1" applyBorder="1" applyAlignment="1">
      <alignment horizontal="center"/>
    </xf>
    <xf numFmtId="0" fontId="81" fillId="24" borderId="169" xfId="51" applyFont="1" applyFill="1" applyBorder="1" applyAlignment="1">
      <alignment horizontal="center"/>
    </xf>
    <xf numFmtId="4" fontId="83" fillId="0" borderId="220" xfId="31" applyNumberFormat="1" applyFont="1" applyFill="1" applyBorder="1" applyAlignment="1">
      <alignment horizontal="center" vertical="center" wrapText="1"/>
    </xf>
    <xf numFmtId="4" fontId="83" fillId="0" borderId="223" xfId="31" applyNumberFormat="1" applyFont="1" applyFill="1" applyBorder="1" applyAlignment="1">
      <alignment horizontal="center" vertical="center" wrapText="1"/>
    </xf>
    <xf numFmtId="178" fontId="90" fillId="0" borderId="150" xfId="36" applyNumberFormat="1" applyFont="1" applyBorder="1" applyAlignment="1">
      <alignment horizontal="center" vertical="center"/>
    </xf>
    <xf numFmtId="173" fontId="90" fillId="0" borderId="150" xfId="36" applyNumberFormat="1" applyFont="1" applyBorder="1" applyAlignment="1">
      <alignment horizontal="center" vertical="center"/>
    </xf>
    <xf numFmtId="0" fontId="83" fillId="0" borderId="221" xfId="52" applyFont="1" applyFill="1" applyBorder="1" applyAlignment="1">
      <alignment horizontal="center" vertical="center" shrinkToFit="1"/>
    </xf>
    <xf numFmtId="39" fontId="83" fillId="0" borderId="218" xfId="36" applyNumberFormat="1" applyFont="1" applyBorder="1" applyAlignment="1">
      <alignment horizontal="center" vertical="center"/>
    </xf>
    <xf numFmtId="39" fontId="19" fillId="0" borderId="219" xfId="51" applyNumberFormat="1" applyFont="1" applyBorder="1" applyAlignment="1">
      <alignment horizontal="center" vertical="center"/>
    </xf>
    <xf numFmtId="39" fontId="83" fillId="0" borderId="218" xfId="36" applyNumberFormat="1" applyFont="1" applyFill="1" applyBorder="1" applyAlignment="1">
      <alignment horizontal="center" vertical="center"/>
    </xf>
    <xf numFmtId="39" fontId="83" fillId="0" borderId="219" xfId="36" applyNumberFormat="1" applyFont="1" applyFill="1" applyBorder="1" applyAlignment="1">
      <alignment horizontal="center" vertical="center"/>
    </xf>
    <xf numFmtId="39" fontId="83" fillId="0" borderId="191" xfId="36" applyNumberFormat="1" applyFont="1" applyFill="1" applyBorder="1" applyAlignment="1">
      <alignment horizontal="center" vertical="center"/>
    </xf>
    <xf numFmtId="39" fontId="83" fillId="0" borderId="193" xfId="36" applyNumberFormat="1" applyFont="1" applyFill="1" applyBorder="1" applyAlignment="1">
      <alignment horizontal="center" vertical="center"/>
    </xf>
    <xf numFmtId="0" fontId="83" fillId="0" borderId="216" xfId="52" applyFont="1" applyFill="1" applyBorder="1" applyAlignment="1">
      <alignment horizontal="center" vertical="center" shrinkToFit="1"/>
    </xf>
    <xf numFmtId="39" fontId="83" fillId="0" borderId="219" xfId="36" applyNumberFormat="1" applyFont="1" applyBorder="1" applyAlignment="1">
      <alignment horizontal="center" vertical="center" wrapText="1"/>
    </xf>
    <xf numFmtId="39" fontId="83" fillId="0" borderId="219" xfId="36" applyNumberFormat="1" applyFont="1" applyBorder="1" applyAlignment="1">
      <alignment horizontal="center" vertical="center"/>
    </xf>
    <xf numFmtId="39" fontId="83" fillId="0" borderId="177" xfId="36" applyNumberFormat="1" applyFont="1" applyFill="1" applyBorder="1" applyAlignment="1">
      <alignment horizontal="center" vertical="center"/>
    </xf>
    <xf numFmtId="0" fontId="93" fillId="0" borderId="229" xfId="51" applyFont="1" applyBorder="1" applyAlignment="1">
      <alignment horizontal="right"/>
    </xf>
    <xf numFmtId="0" fontId="93" fillId="0" borderId="152" xfId="51" applyFont="1" applyBorder="1" applyAlignment="1">
      <alignment horizontal="right"/>
    </xf>
    <xf numFmtId="0" fontId="93" fillId="0" borderId="153" xfId="51" applyFont="1" applyBorder="1" applyAlignment="1">
      <alignment horizontal="right"/>
    </xf>
    <xf numFmtId="0" fontId="93" fillId="0" borderId="231" xfId="51" applyFont="1" applyBorder="1" applyAlignment="1">
      <alignment horizontal="right"/>
    </xf>
    <xf numFmtId="0" fontId="93" fillId="0" borderId="232" xfId="51" applyFont="1" applyBorder="1" applyAlignment="1">
      <alignment horizontal="right"/>
    </xf>
    <xf numFmtId="0" fontId="93" fillId="0" borderId="233" xfId="51" applyFont="1" applyBorder="1" applyAlignment="1">
      <alignment horizontal="right"/>
    </xf>
    <xf numFmtId="166" fontId="92" fillId="0" borderId="235" xfId="31" applyFont="1" applyFill="1" applyBorder="1" applyAlignment="1">
      <alignment horizontal="center"/>
    </xf>
    <xf numFmtId="166" fontId="92" fillId="0" borderId="236" xfId="31" applyFont="1" applyFill="1" applyBorder="1" applyAlignment="1">
      <alignment horizontal="center"/>
    </xf>
    <xf numFmtId="166" fontId="92" fillId="0" borderId="151" xfId="31" applyFont="1" applyFill="1" applyBorder="1" applyAlignment="1">
      <alignment horizontal="center"/>
    </xf>
    <xf numFmtId="166" fontId="92" fillId="0" borderId="237" xfId="31" applyFont="1" applyFill="1" applyBorder="1" applyAlignment="1">
      <alignment horizontal="center"/>
    </xf>
    <xf numFmtId="166" fontId="92" fillId="0" borderId="239" xfId="31" applyFont="1" applyFill="1" applyBorder="1" applyAlignment="1">
      <alignment horizontal="center"/>
    </xf>
    <xf numFmtId="166" fontId="92" fillId="0" borderId="240" xfId="31" applyFont="1" applyFill="1" applyBorder="1" applyAlignment="1">
      <alignment horizontal="center"/>
    </xf>
    <xf numFmtId="0" fontId="91" fillId="0" borderId="225" xfId="51" applyFont="1" applyBorder="1" applyAlignment="1">
      <alignment horizontal="left"/>
    </xf>
    <xf numFmtId="0" fontId="91" fillId="0" borderId="226" xfId="51" applyFont="1" applyBorder="1" applyAlignment="1">
      <alignment horizontal="left"/>
    </xf>
    <xf numFmtId="0" fontId="91" fillId="0" borderId="227" xfId="51" applyFont="1" applyBorder="1" applyAlignment="1">
      <alignment horizontal="left"/>
    </xf>
    <xf numFmtId="0" fontId="93" fillId="0" borderId="225" xfId="51" applyFont="1" applyBorder="1" applyAlignment="1">
      <alignment horizontal="right"/>
    </xf>
    <xf numFmtId="0" fontId="93" fillId="0" borderId="226" xfId="51" applyFont="1" applyBorder="1" applyAlignment="1">
      <alignment horizontal="right"/>
    </xf>
    <xf numFmtId="0" fontId="93" fillId="0" borderId="227" xfId="51" applyFont="1" applyBorder="1" applyAlignment="1">
      <alignment horizontal="right"/>
    </xf>
    <xf numFmtId="0" fontId="91" fillId="0" borderId="229" xfId="51" applyFont="1" applyBorder="1" applyAlignment="1">
      <alignment horizontal="left"/>
    </xf>
    <xf numFmtId="0" fontId="91" fillId="0" borderId="152" xfId="51" applyFont="1" applyBorder="1" applyAlignment="1">
      <alignment horizontal="left"/>
    </xf>
    <xf numFmtId="0" fontId="91" fillId="0" borderId="153" xfId="51" applyFont="1" applyBorder="1" applyAlignment="1">
      <alignment horizontal="left"/>
    </xf>
    <xf numFmtId="0" fontId="91" fillId="0" borderId="231" xfId="51" applyFont="1" applyBorder="1" applyAlignment="1">
      <alignment horizontal="left"/>
    </xf>
    <xf numFmtId="0" fontId="91" fillId="0" borderId="232" xfId="51" applyFont="1" applyBorder="1" applyAlignment="1">
      <alignment horizontal="left"/>
    </xf>
    <xf numFmtId="0" fontId="91" fillId="0" borderId="233" xfId="51" applyFont="1" applyBorder="1" applyAlignment="1">
      <alignment horizontal="left"/>
    </xf>
    <xf numFmtId="0" fontId="91" fillId="0" borderId="229" xfId="51" applyFont="1" applyBorder="1" applyAlignment="1">
      <alignment horizontal="right"/>
    </xf>
    <xf numFmtId="0" fontId="91" fillId="0" borderId="152" xfId="51" applyFont="1" applyBorder="1" applyAlignment="1">
      <alignment horizontal="right"/>
    </xf>
    <xf numFmtId="0" fontId="91" fillId="0" borderId="153" xfId="51" applyFont="1" applyBorder="1" applyAlignment="1">
      <alignment horizontal="right"/>
    </xf>
    <xf numFmtId="0" fontId="94" fillId="24" borderId="150" xfId="51" applyFont="1" applyFill="1" applyBorder="1" applyAlignment="1" applyProtection="1">
      <alignment horizontal="center"/>
      <protection hidden="1"/>
    </xf>
    <xf numFmtId="0" fontId="3" fillId="58" borderId="0" xfId="54" applyFont="1" applyFill="1" applyBorder="1" applyAlignment="1">
      <alignment horizontal="center"/>
    </xf>
    <xf numFmtId="0" fontId="3" fillId="58" borderId="0" xfId="54" applyFont="1" applyFill="1" applyBorder="1" applyAlignment="1">
      <alignment horizontal="center" vertical="center"/>
    </xf>
    <xf numFmtId="0" fontId="49" fillId="58" borderId="0" xfId="54" applyFont="1" applyFill="1" applyBorder="1" applyAlignment="1" applyProtection="1">
      <alignment horizontal="center" wrapText="1"/>
    </xf>
    <xf numFmtId="0" fontId="49" fillId="0" borderId="245" xfId="54" applyFont="1" applyBorder="1" applyAlignment="1">
      <alignment horizontal="center" vertical="center" wrapText="1"/>
    </xf>
    <xf numFmtId="0" fontId="49" fillId="0" borderId="251" xfId="54" applyFont="1" applyBorder="1" applyAlignment="1">
      <alignment horizontal="center" vertical="center" wrapText="1"/>
    </xf>
    <xf numFmtId="0" fontId="49" fillId="0" borderId="248" xfId="54" applyFont="1" applyBorder="1" applyAlignment="1">
      <alignment horizontal="center" vertical="center" wrapText="1"/>
    </xf>
    <xf numFmtId="0" fontId="5" fillId="0" borderId="251" xfId="54" applyFont="1" applyBorder="1" applyAlignment="1">
      <alignment horizontal="center"/>
    </xf>
    <xf numFmtId="0" fontId="5" fillId="0" borderId="46" xfId="54" applyFont="1" applyBorder="1" applyAlignment="1">
      <alignment horizontal="center"/>
    </xf>
    <xf numFmtId="0" fontId="5" fillId="0" borderId="0" xfId="54" applyFont="1" applyBorder="1" applyAlignment="1">
      <alignment horizontal="center"/>
    </xf>
    <xf numFmtId="0" fontId="49" fillId="0" borderId="252" xfId="54" applyFont="1" applyBorder="1" applyAlignment="1">
      <alignment horizontal="center" vertical="center"/>
    </xf>
    <xf numFmtId="0" fontId="49" fillId="0" borderId="143" xfId="54" applyFont="1" applyBorder="1" applyAlignment="1">
      <alignment horizontal="center" vertical="center"/>
    </xf>
    <xf numFmtId="0" fontId="49" fillId="0" borderId="245" xfId="54" applyFont="1" applyBorder="1" applyAlignment="1">
      <alignment horizontal="center" vertical="center"/>
    </xf>
    <xf numFmtId="0" fontId="49" fillId="0" borderId="247" xfId="54" applyFont="1" applyBorder="1" applyAlignment="1">
      <alignment horizontal="center" vertical="center"/>
    </xf>
    <xf numFmtId="0" fontId="49" fillId="0" borderId="248" xfId="54" applyFont="1" applyBorder="1" applyAlignment="1">
      <alignment horizontal="center" vertical="center"/>
    </xf>
    <xf numFmtId="0" fontId="49" fillId="0" borderId="250" xfId="54" applyFont="1" applyBorder="1" applyAlignment="1">
      <alignment horizontal="center" vertical="center"/>
    </xf>
    <xf numFmtId="0" fontId="49" fillId="0" borderId="245" xfId="54" applyFont="1" applyBorder="1" applyAlignment="1">
      <alignment horizontal="center"/>
    </xf>
    <xf numFmtId="0" fontId="49" fillId="0" borderId="247" xfId="54" applyFont="1" applyBorder="1" applyAlignment="1">
      <alignment horizontal="center"/>
    </xf>
    <xf numFmtId="0" fontId="49" fillId="0" borderId="246" xfId="54" applyFont="1" applyBorder="1" applyAlignment="1">
      <alignment horizontal="center"/>
    </xf>
    <xf numFmtId="0" fontId="49" fillId="0" borderId="248" xfId="54" applyFont="1" applyBorder="1" applyAlignment="1">
      <alignment horizontal="center"/>
    </xf>
    <xf numFmtId="0" fontId="49" fillId="0" borderId="250" xfId="54" applyFont="1" applyBorder="1" applyAlignment="1">
      <alignment horizontal="center"/>
    </xf>
    <xf numFmtId="0" fontId="49" fillId="0" borderId="249" xfId="54" applyFont="1" applyBorder="1" applyAlignment="1">
      <alignment horizontal="center"/>
    </xf>
    <xf numFmtId="0" fontId="5" fillId="0" borderId="248" xfId="54" applyFont="1" applyBorder="1" applyAlignment="1">
      <alignment horizontal="center"/>
    </xf>
    <xf numFmtId="0" fontId="5" fillId="0" borderId="250" xfId="54" applyFont="1" applyBorder="1" applyAlignment="1">
      <alignment horizontal="center"/>
    </xf>
    <xf numFmtId="0" fontId="5" fillId="0" borderId="249" xfId="54" applyFont="1" applyBorder="1" applyAlignment="1">
      <alignment horizontal="center"/>
    </xf>
    <xf numFmtId="0" fontId="5" fillId="0" borderId="252" xfId="54" applyFont="1" applyBorder="1" applyAlignment="1">
      <alignment horizontal="center" vertical="center"/>
    </xf>
    <xf numFmtId="0" fontId="5" fillId="0" borderId="253" xfId="54" applyFont="1" applyBorder="1" applyAlignment="1">
      <alignment horizontal="center" vertical="center"/>
    </xf>
    <xf numFmtId="0" fontId="5" fillId="0" borderId="143" xfId="54" applyFont="1" applyBorder="1" applyAlignment="1">
      <alignment horizontal="center" vertical="center"/>
    </xf>
    <xf numFmtId="0" fontId="5" fillId="0" borderId="245" xfId="54" applyFont="1" applyBorder="1" applyAlignment="1">
      <alignment horizontal="center"/>
    </xf>
    <xf numFmtId="0" fontId="5" fillId="0" borderId="247" xfId="54" applyFont="1" applyBorder="1" applyAlignment="1">
      <alignment horizontal="center"/>
    </xf>
    <xf numFmtId="0" fontId="5" fillId="0" borderId="246" xfId="54" applyFont="1" applyBorder="1" applyAlignment="1">
      <alignment horizontal="center"/>
    </xf>
    <xf numFmtId="0" fontId="3" fillId="24" borderId="157" xfId="54" applyFont="1" applyFill="1" applyBorder="1" applyAlignment="1">
      <alignment horizontal="center" vertical="center"/>
    </xf>
    <xf numFmtId="0" fontId="2" fillId="0" borderId="186" xfId="54" applyBorder="1" applyAlignment="1">
      <alignment horizontal="center" vertical="center"/>
    </xf>
    <xf numFmtId="49" fontId="100" fillId="0" borderId="0" xfId="54" applyNumberFormat="1" applyFont="1" applyAlignment="1">
      <alignment horizontal="center"/>
    </xf>
  </cellXfs>
  <cellStyles count="5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 2" xfId="55"/>
    <cellStyle name="Neutra" xfId="32" builtinId="28" customBuiltin="1"/>
    <cellStyle name="Normal" xfId="0" builtinId="0"/>
    <cellStyle name="Normal 2" xfId="48"/>
    <cellStyle name="Normal 2 2" xfId="49"/>
    <cellStyle name="Normal 2 3" xfId="54"/>
    <cellStyle name="Normal 3" xfId="51"/>
    <cellStyle name="Normal_LAUDO SANTANDER - rua Cel. Oscar Jost - 2277_204" xfId="33"/>
    <cellStyle name="Normal_LAYOUT" xfId="50"/>
    <cellStyle name="Normal_Plan1 (2)" xfId="52"/>
    <cellStyle name="Nota" xfId="34" builtinId="10" customBuiltin="1"/>
    <cellStyle name="Porcentagem 2" xfId="53"/>
    <cellStyle name="Saída" xfId="35" builtinId="21" customBuiltin="1"/>
    <cellStyle name="Separador de milhares 2" xfId="37"/>
    <cellStyle name="Separador de milhares_LAUDO SANTANDER - rua Cel. Oscar Jost - 2277_204" xfId="38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1 1" xfId="43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  <cellStyle name="Vírgula" xfId="36" builtinId="3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.jpeg"/><Relationship Id="rId4" Type="http://schemas.openxmlformats.org/officeDocument/2006/relationships/image" Target="../media/image1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png"/><Relationship Id="rId5" Type="http://schemas.openxmlformats.org/officeDocument/2006/relationships/image" Target="../media/image25.jpeg"/><Relationship Id="rId4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885825</xdr:colOff>
      <xdr:row>3</xdr:row>
      <xdr:rowOff>114300</xdr:rowOff>
    </xdr:to>
    <xdr:pic>
      <xdr:nvPicPr>
        <xdr:cNvPr id="16416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14</xdr:row>
      <xdr:rowOff>28574</xdr:rowOff>
    </xdr:from>
    <xdr:to>
      <xdr:col>9</xdr:col>
      <xdr:colOff>152400</xdr:colOff>
      <xdr:row>28</xdr:row>
      <xdr:rowOff>180975</xdr:rowOff>
    </xdr:to>
    <xdr:pic>
      <xdr:nvPicPr>
        <xdr:cNvPr id="3" name="Imagem 2" descr="DSCF1711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142875" y="1904999"/>
          <a:ext cx="5314950" cy="3086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2</xdr:col>
      <xdr:colOff>866775</xdr:colOff>
      <xdr:row>3</xdr:row>
      <xdr:rowOff>28575</xdr:rowOff>
    </xdr:to>
    <xdr:pic>
      <xdr:nvPicPr>
        <xdr:cNvPr id="10291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8575"/>
          <a:ext cx="1581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19051</xdr:colOff>
      <xdr:row>13</xdr:row>
      <xdr:rowOff>28576</xdr:rowOff>
    </xdr:from>
    <xdr:to>
      <xdr:col>5</xdr:col>
      <xdr:colOff>1</xdr:colOff>
      <xdr:row>22</xdr:row>
      <xdr:rowOff>171450</xdr:rowOff>
    </xdr:to>
    <xdr:pic>
      <xdr:nvPicPr>
        <xdr:cNvPr id="3" name="Imagem 2" descr="DSCF1719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200026" y="1866901"/>
          <a:ext cx="2609850" cy="20288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13</xdr:row>
      <xdr:rowOff>19049</xdr:rowOff>
    </xdr:from>
    <xdr:to>
      <xdr:col>9</xdr:col>
      <xdr:colOff>152399</xdr:colOff>
      <xdr:row>22</xdr:row>
      <xdr:rowOff>200025</xdr:rowOff>
    </xdr:to>
    <xdr:pic>
      <xdr:nvPicPr>
        <xdr:cNvPr id="4" name="Imagem 3" descr="DSCF1679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2828924" y="1857374"/>
          <a:ext cx="2695575" cy="20669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</xdr:row>
      <xdr:rowOff>28574</xdr:rowOff>
    </xdr:from>
    <xdr:to>
      <xdr:col>4</xdr:col>
      <xdr:colOff>349250</xdr:colOff>
      <xdr:row>36</xdr:row>
      <xdr:rowOff>161925</xdr:rowOff>
    </xdr:to>
    <xdr:pic>
      <xdr:nvPicPr>
        <xdr:cNvPr id="5" name="Imagem 4" descr="DSCF1685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209550" y="4457699"/>
          <a:ext cx="2578100" cy="201930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123824</xdr:colOff>
      <xdr:row>27</xdr:row>
      <xdr:rowOff>28575</xdr:rowOff>
    </xdr:from>
    <xdr:to>
      <xdr:col>9</xdr:col>
      <xdr:colOff>76198</xdr:colOff>
      <xdr:row>37</xdr:row>
      <xdr:rowOff>4500</xdr:rowOff>
    </xdr:to>
    <xdr:pic>
      <xdr:nvPicPr>
        <xdr:cNvPr id="6" name="Imagem 5" descr="DSCF1688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 rot="5400000">
          <a:off x="3155286" y="4236113"/>
          <a:ext cx="2071425" cy="2514599"/>
        </a:xfrm>
        <a:prstGeom prst="rect">
          <a:avLst/>
        </a:prstGeom>
      </xdr:spPr>
    </xdr:pic>
    <xdr:clientData/>
  </xdr:twoCellAnchor>
  <xdr:twoCellAnchor editAs="oneCell">
    <xdr:from>
      <xdr:col>1</xdr:col>
      <xdr:colOff>300000</xdr:colOff>
      <xdr:row>41</xdr:row>
      <xdr:rowOff>0</xdr:rowOff>
    </xdr:from>
    <xdr:to>
      <xdr:col>4</xdr:col>
      <xdr:colOff>180975</xdr:colOff>
      <xdr:row>51</xdr:row>
      <xdr:rowOff>4500</xdr:rowOff>
    </xdr:to>
    <xdr:pic>
      <xdr:nvPicPr>
        <xdr:cNvPr id="7" name="Imagem 6" descr="DSCF1692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 rot="5400000">
          <a:off x="500175" y="7000725"/>
          <a:ext cx="2100000" cy="21384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41</xdr:row>
      <xdr:rowOff>0</xdr:rowOff>
    </xdr:from>
    <xdr:to>
      <xdr:col>9</xdr:col>
      <xdr:colOff>9525</xdr:colOff>
      <xdr:row>51</xdr:row>
      <xdr:rowOff>4500</xdr:rowOff>
    </xdr:to>
    <xdr:pic>
      <xdr:nvPicPr>
        <xdr:cNvPr id="8" name="Imagem 7" descr="DSCF1694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 rot="5400000">
          <a:off x="3121950" y="6860250"/>
          <a:ext cx="2100000" cy="2419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923925</xdr:colOff>
      <xdr:row>3</xdr:row>
      <xdr:rowOff>38100</xdr:rowOff>
    </xdr:to>
    <xdr:pic>
      <xdr:nvPicPr>
        <xdr:cNvPr id="19475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1619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13</xdr:row>
      <xdr:rowOff>28576</xdr:rowOff>
    </xdr:from>
    <xdr:to>
      <xdr:col>4</xdr:col>
      <xdr:colOff>180975</xdr:colOff>
      <xdr:row>23</xdr:row>
      <xdr:rowOff>4501</xdr:rowOff>
    </xdr:to>
    <xdr:pic>
      <xdr:nvPicPr>
        <xdr:cNvPr id="4" name="Imagem 3" descr="DSCF1691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 rot="5400000">
          <a:off x="450187" y="1769139"/>
          <a:ext cx="2071425" cy="226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300000</xdr:colOff>
      <xdr:row>13</xdr:row>
      <xdr:rowOff>19054</xdr:rowOff>
    </xdr:from>
    <xdr:to>
      <xdr:col>9</xdr:col>
      <xdr:colOff>28575</xdr:colOff>
      <xdr:row>23</xdr:row>
      <xdr:rowOff>4502</xdr:rowOff>
    </xdr:to>
    <xdr:pic>
      <xdr:nvPicPr>
        <xdr:cNvPr id="5" name="Imagem 4" descr="DSCF1700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 rot="5400000">
          <a:off x="3214801" y="1752453"/>
          <a:ext cx="2080948" cy="229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</xdr:row>
      <xdr:rowOff>76199</xdr:rowOff>
    </xdr:from>
    <xdr:to>
      <xdr:col>4</xdr:col>
      <xdr:colOff>349250</xdr:colOff>
      <xdr:row>36</xdr:row>
      <xdr:rowOff>123824</xdr:rowOff>
    </xdr:to>
    <xdr:pic>
      <xdr:nvPicPr>
        <xdr:cNvPr id="6" name="Imagem 5" descr="DSCF1707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209550" y="4505324"/>
          <a:ext cx="2578100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41</xdr:row>
      <xdr:rowOff>38099</xdr:rowOff>
    </xdr:from>
    <xdr:to>
      <xdr:col>4</xdr:col>
      <xdr:colOff>323851</xdr:colOff>
      <xdr:row>50</xdr:row>
      <xdr:rowOff>188118</xdr:rowOff>
    </xdr:to>
    <xdr:pic>
      <xdr:nvPicPr>
        <xdr:cNvPr id="7" name="Imagem 6" descr="DSCF1718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200025" y="7058024"/>
          <a:ext cx="2562226" cy="2035969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27</xdr:row>
      <xdr:rowOff>28574</xdr:rowOff>
    </xdr:from>
    <xdr:to>
      <xdr:col>9</xdr:col>
      <xdr:colOff>114299</xdr:colOff>
      <xdr:row>36</xdr:row>
      <xdr:rowOff>190499</xdr:rowOff>
    </xdr:to>
    <xdr:pic>
      <xdr:nvPicPr>
        <xdr:cNvPr id="8" name="Imagem 7" descr="DSCF1680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2828924" y="4457699"/>
          <a:ext cx="2657475" cy="204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3</xdr:col>
      <xdr:colOff>85725</xdr:colOff>
      <xdr:row>4</xdr:row>
      <xdr:rowOff>38100</xdr:rowOff>
    </xdr:to>
    <xdr:pic>
      <xdr:nvPicPr>
        <xdr:cNvPr id="11294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28576</xdr:colOff>
      <xdr:row>14</xdr:row>
      <xdr:rowOff>104775</xdr:rowOff>
    </xdr:from>
    <xdr:to>
      <xdr:col>9</xdr:col>
      <xdr:colOff>119183</xdr:colOff>
      <xdr:row>22</xdr:row>
      <xdr:rowOff>47625</xdr:rowOff>
    </xdr:to>
    <xdr:pic>
      <xdr:nvPicPr>
        <xdr:cNvPr id="1127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1" y="2047875"/>
          <a:ext cx="5281732" cy="1619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22</xdr:row>
      <xdr:rowOff>76200</xdr:rowOff>
    </xdr:from>
    <xdr:to>
      <xdr:col>9</xdr:col>
      <xdr:colOff>143064</xdr:colOff>
      <xdr:row>26</xdr:row>
      <xdr:rowOff>190500</xdr:rowOff>
    </xdr:to>
    <xdr:pic>
      <xdr:nvPicPr>
        <xdr:cNvPr id="1127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3695700"/>
          <a:ext cx="5391339" cy="914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85725</xdr:colOff>
      <xdr:row>27</xdr:row>
      <xdr:rowOff>168612</xdr:rowOff>
    </xdr:from>
    <xdr:to>
      <xdr:col>9</xdr:col>
      <xdr:colOff>106999</xdr:colOff>
      <xdr:row>43</xdr:row>
      <xdr:rowOff>180975</xdr:rowOff>
    </xdr:to>
    <xdr:pic>
      <xdr:nvPicPr>
        <xdr:cNvPr id="1128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1450" y="4797762"/>
          <a:ext cx="5212399" cy="332706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3</xdr:col>
      <xdr:colOff>85725</xdr:colOff>
      <xdr:row>4</xdr:row>
      <xdr:rowOff>38100</xdr:rowOff>
    </xdr:to>
    <xdr:pic>
      <xdr:nvPicPr>
        <xdr:cNvPr id="2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14</xdr:row>
      <xdr:rowOff>38100</xdr:rowOff>
    </xdr:from>
    <xdr:to>
      <xdr:col>7</xdr:col>
      <xdr:colOff>603739</xdr:colOff>
      <xdr:row>39</xdr:row>
      <xdr:rowOff>66676</xdr:rowOff>
    </xdr:to>
    <xdr:pic>
      <xdr:nvPicPr>
        <xdr:cNvPr id="7" name="Imagem 6" descr="planta.bmp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1162050" y="1981200"/>
          <a:ext cx="3432664" cy="51911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38</xdr:row>
      <xdr:rowOff>37782</xdr:rowOff>
    </xdr:from>
    <xdr:to>
      <xdr:col>7</xdr:col>
      <xdr:colOff>438150</xdr:colOff>
      <xdr:row>48</xdr:row>
      <xdr:rowOff>199504</xdr:rowOff>
    </xdr:to>
    <xdr:pic>
      <xdr:nvPicPr>
        <xdr:cNvPr id="8" name="Imagem 7" descr="quadro de áreas.bmp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857250" y="6971982"/>
          <a:ext cx="3571875" cy="22191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3</xdr:col>
      <xdr:colOff>85725</xdr:colOff>
      <xdr:row>4</xdr:row>
      <xdr:rowOff>38100</xdr:rowOff>
    </xdr:to>
    <xdr:pic>
      <xdr:nvPicPr>
        <xdr:cNvPr id="2" name="Imagem 2" descr="Santander_Negativo_1C-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28576</xdr:colOff>
      <xdr:row>15</xdr:row>
      <xdr:rowOff>38100</xdr:rowOff>
    </xdr:from>
    <xdr:to>
      <xdr:col>9</xdr:col>
      <xdr:colOff>152400</xdr:colOff>
      <xdr:row>30</xdr:row>
      <xdr:rowOff>156972</xdr:rowOff>
    </xdr:to>
    <xdr:pic>
      <xdr:nvPicPr>
        <xdr:cNvPr id="3" name="Imagem 2" descr="ava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114301" y="2190750"/>
          <a:ext cx="5314949" cy="322402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32</xdr:row>
      <xdr:rowOff>161925</xdr:rowOff>
    </xdr:from>
    <xdr:to>
      <xdr:col>9</xdr:col>
      <xdr:colOff>154388</xdr:colOff>
      <xdr:row>48</xdr:row>
      <xdr:rowOff>66675</xdr:rowOff>
    </xdr:to>
    <xdr:pic>
      <xdr:nvPicPr>
        <xdr:cNvPr id="4" name="Imagem 3" descr="pesq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123826" y="5838825"/>
          <a:ext cx="5307412" cy="3219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29</xdr:row>
      <xdr:rowOff>0</xdr:rowOff>
    </xdr:from>
    <xdr:to>
      <xdr:col>2</xdr:col>
      <xdr:colOff>0</xdr:colOff>
      <xdr:row>44</xdr:row>
      <xdr:rowOff>154777</xdr:rowOff>
    </xdr:to>
    <xdr:pic>
      <xdr:nvPicPr>
        <xdr:cNvPr id="7" name="Imagem 6" descr="01.bmp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825501" y="6057900"/>
          <a:ext cx="3479799" cy="2631277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28</xdr:row>
      <xdr:rowOff>165099</xdr:rowOff>
    </xdr:from>
    <xdr:to>
      <xdr:col>17</xdr:col>
      <xdr:colOff>927100</xdr:colOff>
      <xdr:row>44</xdr:row>
      <xdr:rowOff>123824</xdr:rowOff>
    </xdr:to>
    <xdr:pic>
      <xdr:nvPicPr>
        <xdr:cNvPr id="8" name="Imagem 7" descr="DSCF1726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11645900" y="6057899"/>
          <a:ext cx="3594100" cy="26003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29</xdr:row>
      <xdr:rowOff>38100</xdr:rowOff>
    </xdr:from>
    <xdr:to>
      <xdr:col>5</xdr:col>
      <xdr:colOff>762000</xdr:colOff>
      <xdr:row>44</xdr:row>
      <xdr:rowOff>101600</xdr:rowOff>
    </xdr:to>
    <xdr:pic>
      <xdr:nvPicPr>
        <xdr:cNvPr id="9" name="Imagem 8" descr="02.jpe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4381500" y="6096000"/>
          <a:ext cx="3632200" cy="2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29</xdr:row>
      <xdr:rowOff>12699</xdr:rowOff>
    </xdr:from>
    <xdr:to>
      <xdr:col>13</xdr:col>
      <xdr:colOff>241300</xdr:colOff>
      <xdr:row>44</xdr:row>
      <xdr:rowOff>160866</xdr:rowOff>
    </xdr:to>
    <xdr:pic>
      <xdr:nvPicPr>
        <xdr:cNvPr id="10" name="Imagem 9" descr="03.jpe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8420100" y="6070599"/>
          <a:ext cx="2844800" cy="2624667"/>
        </a:xfrm>
        <a:prstGeom prst="rect">
          <a:avLst/>
        </a:prstGeom>
      </xdr:spPr>
    </xdr:pic>
    <xdr:clientData/>
  </xdr:twoCellAnchor>
  <xdr:twoCellAnchor editAs="oneCell">
    <xdr:from>
      <xdr:col>18</xdr:col>
      <xdr:colOff>139700</xdr:colOff>
      <xdr:row>29</xdr:row>
      <xdr:rowOff>12699</xdr:rowOff>
    </xdr:from>
    <xdr:to>
      <xdr:col>21</xdr:col>
      <xdr:colOff>787400</xdr:colOff>
      <xdr:row>44</xdr:row>
      <xdr:rowOff>160866</xdr:rowOff>
    </xdr:to>
    <xdr:pic>
      <xdr:nvPicPr>
        <xdr:cNvPr id="11" name="Imagem 10" descr="DSCF1737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5443200" y="6070599"/>
          <a:ext cx="3213100" cy="2624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luster09fs\Documents%20and%20Settings\T618964\Local%20Settings\Temporary%20Internet%20Files\Content.Outlook\9ZB3LVIB\Documents%20and%20Settings\BOASVINDAS\Desktop\Andre\Modelos\Cushman%20-%20A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luster09fs\Documents%20and%20Settings\T618964\Local%20Settings\Temporary%20Internet%20Files\Content.Outlook\9ZB3LVIB\Documents%20and%20Settings\BOASVINDAS\Desktop\Andre\Modelos\Outros\Modelo%20Bazz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001-campartilhada\001-LAUDOS%20EM%20EXECU&#199;&#195;O\210.09347(Catalysis)Tim&#243;teodaCosta,Rio\LOJA%20VENDA%20HOMOG.%20TES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F723100\LOCALS~1\Temp\notesA53174\CLAUDIA%20SIMONE%20DA%20SILVA%20-%20SANTA%20CRUZ%20DO%20SUL\LAUDO%20SANTANDER%20-%20rua%20Cel.%20Oscar%20Jost%20-%202277_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luster09fs\Documents%20and%20Settings\T618964\Local%20Settings\Temporary%20Internet%20Files\Content.Outlook\9ZB3LVIB\Modelo%20Laudo%20-%20Ca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-Folha1-Pag1"/>
      <sheetName val="Descrição-Folha1-Pag2"/>
      <sheetName val="Fotos Avaliando-Folha2-pág3"/>
      <sheetName val="Fotos Vício-Folha2-pág4"/>
      <sheetName val="Cálculo-Folha3-Pág5"/>
      <sheetName val="Comparativos-Folha4-Pag7"/>
      <sheetName val="Croqui-Folha4-Pag8"/>
      <sheetName val="dados"/>
      <sheetName val="Hoss Reidec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str">
            <v>residencial</v>
          </cell>
          <cell r="G4" t="str">
            <v>novo</v>
          </cell>
          <cell r="I4" t="str">
            <v>baixo</v>
          </cell>
          <cell r="K4" t="str">
            <v>casa</v>
          </cell>
        </row>
        <row r="5">
          <cell r="E5" t="str">
            <v>comercial</v>
          </cell>
          <cell r="G5" t="str">
            <v>entre novo e regular</v>
          </cell>
          <cell r="I5" t="str">
            <v>md inferior</v>
          </cell>
          <cell r="K5" t="str">
            <v>apto</v>
          </cell>
        </row>
        <row r="6">
          <cell r="E6" t="str">
            <v>mista</v>
          </cell>
          <cell r="G6" t="str">
            <v>regular</v>
          </cell>
          <cell r="I6" t="str">
            <v>médio</v>
          </cell>
          <cell r="K6" t="str">
            <v>loja</v>
          </cell>
        </row>
        <row r="7">
          <cell r="E7" t="str">
            <v>resid/com</v>
          </cell>
          <cell r="G7" t="str">
            <v>regular a rep simples</v>
          </cell>
          <cell r="I7" t="str">
            <v>md superior</v>
          </cell>
          <cell r="K7" t="str">
            <v>flat</v>
          </cell>
        </row>
        <row r="8">
          <cell r="E8" t="str">
            <v>industrial</v>
          </cell>
          <cell r="G8" t="str">
            <v>reparos simples</v>
          </cell>
          <cell r="I8" t="str">
            <v>alto</v>
          </cell>
          <cell r="K8" t="str">
            <v>cj com</v>
          </cell>
        </row>
        <row r="9">
          <cell r="E9" t="str">
            <v>rural</v>
          </cell>
          <cell r="G9" t="str">
            <v>rep simples a import</v>
          </cell>
        </row>
        <row r="10">
          <cell r="G10" t="str">
            <v>rep importantes</v>
          </cell>
        </row>
        <row r="11">
          <cell r="G11" t="str">
            <v>rep import e sem valor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do_ pag 1"/>
      <sheetName val="laudo_pag2"/>
      <sheetName val="laudo_ pag 3  "/>
      <sheetName val="laudo _ pag 4 "/>
      <sheetName val="laudo _ pag 4  (2)"/>
      <sheetName val="laudo_pag 5 "/>
      <sheetName val="laudo_pag6"/>
      <sheetName val="dados"/>
      <sheetName val="dados2"/>
      <sheetName val="Hoss Reidec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ofertado</v>
          </cell>
        </row>
        <row r="5">
          <cell r="W5" t="str">
            <v>vendido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QUISAS"/>
      <sheetName val="CÁLCULO "/>
      <sheetName val="Tabelas Auxiliares"/>
      <sheetName val="dados"/>
      <sheetName val="Hoss Reidecke"/>
    </sheetNames>
    <sheetDataSet>
      <sheetData sheetId="0" refreshError="1"/>
      <sheetData sheetId="1" refreshError="1"/>
      <sheetData sheetId="2">
        <row r="123">
          <cell r="L123" t="str">
            <v>Apartamento</v>
          </cell>
        </row>
        <row r="124">
          <cell r="L124" t="str">
            <v>Armazéns</v>
          </cell>
        </row>
        <row r="125">
          <cell r="L125" t="str">
            <v>Bancos</v>
          </cell>
        </row>
        <row r="126">
          <cell r="L126" t="str">
            <v>Celeiros</v>
          </cell>
        </row>
        <row r="127">
          <cell r="L127" t="str">
            <v>Edifícios de Escritórios</v>
          </cell>
        </row>
        <row r="128">
          <cell r="L128" t="str">
            <v>Fábricas</v>
          </cell>
        </row>
        <row r="129">
          <cell r="L129" t="str">
            <v>Garagens</v>
          </cell>
        </row>
        <row r="130">
          <cell r="L130" t="str">
            <v>Hotéis</v>
          </cell>
        </row>
        <row r="131">
          <cell r="L131" t="str">
            <v>Lojas</v>
          </cell>
        </row>
        <row r="132">
          <cell r="L132" t="str">
            <v>Paiós</v>
          </cell>
        </row>
        <row r="133">
          <cell r="L133" t="str">
            <v>Residências</v>
          </cell>
        </row>
        <row r="134">
          <cell r="L134" t="str">
            <v>Teatros</v>
          </cell>
        </row>
        <row r="135">
          <cell r="L135" t="str">
            <v>-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 calculo"/>
      <sheetName val="Página 1"/>
      <sheetName val="Página 2"/>
      <sheetName val="Página 3"/>
      <sheetName val="Pesquisa"/>
      <sheetName val="Fotos"/>
      <sheetName val="Documentos_Croqui do Local"/>
    </sheetNames>
    <sheetDataSet>
      <sheetData sheetId="0"/>
      <sheetData sheetId="1">
        <row r="11">
          <cell r="P1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</sheetData>
      <sheetData sheetId="2">
        <row r="65">
          <cell r="AD65">
            <v>0</v>
          </cell>
          <cell r="AE65">
            <v>0</v>
          </cell>
          <cell r="AF65">
            <v>0</v>
          </cell>
        </row>
        <row r="66">
          <cell r="AE66">
            <v>0</v>
          </cell>
          <cell r="AF66">
            <v>0</v>
          </cell>
        </row>
        <row r="67">
          <cell r="AD67">
            <v>0</v>
          </cell>
          <cell r="AE67">
            <v>0</v>
          </cell>
          <cell r="AF67">
            <v>0</v>
          </cell>
        </row>
      </sheetData>
      <sheetData sheetId="3"/>
      <sheetData sheetId="4">
        <row r="2">
          <cell r="X2">
            <v>0</v>
          </cell>
        </row>
        <row r="7">
          <cell r="X7" t="e">
            <v>#DIV/0!</v>
          </cell>
        </row>
        <row r="15">
          <cell r="X15">
            <v>100</v>
          </cell>
        </row>
        <row r="20">
          <cell r="X20" t="e">
            <v>#DIV/0!</v>
          </cell>
        </row>
        <row r="28">
          <cell r="X28">
            <v>100</v>
          </cell>
        </row>
        <row r="33">
          <cell r="X33" t="e">
            <v>#DIV/0!</v>
          </cell>
        </row>
        <row r="41">
          <cell r="X41">
            <v>100</v>
          </cell>
        </row>
        <row r="46">
          <cell r="X46" t="e">
            <v>#DIV/0!</v>
          </cell>
        </row>
        <row r="54">
          <cell r="X54">
            <v>0</v>
          </cell>
        </row>
        <row r="59">
          <cell r="X59" t="e">
            <v>#DIV/0!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 1"/>
      <sheetName val="Página 2"/>
      <sheetName val="Página 3"/>
      <sheetName val="Fotos"/>
      <sheetName val="Fotos (2)"/>
      <sheetName val="casa"/>
      <sheetName val="Pesquisa"/>
      <sheetName val="Documentos-Croqui do Local"/>
    </sheetNames>
    <sheetDataSet>
      <sheetData sheetId="0">
        <row r="47">
          <cell r="H4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R60"/>
  <sheetViews>
    <sheetView showGridLines="0" tabSelected="1" view="pageBreakPreview" zoomScaleNormal="100" zoomScaleSheetLayoutView="100" workbookViewId="0">
      <selection activeCell="U12" sqref="U12"/>
    </sheetView>
  </sheetViews>
  <sheetFormatPr defaultRowHeight="16.5" customHeight="1"/>
  <cols>
    <col min="1" max="1" width="1.7109375" style="16" customWidth="1"/>
    <col min="2" max="2" width="10.5703125" style="16" customWidth="1"/>
    <col min="3" max="3" width="14.140625" style="16" customWidth="1"/>
    <col min="4" max="4" width="9.140625" style="16"/>
    <col min="5" max="5" width="5.5703125" style="16" customWidth="1"/>
    <col min="6" max="6" width="6.5703125" style="16" customWidth="1"/>
    <col min="7" max="7" width="12.5703125" style="16" customWidth="1"/>
    <col min="8" max="8" width="9.140625" style="16"/>
    <col min="9" max="9" width="10.140625" style="16" customWidth="1"/>
    <col min="10" max="10" width="2.5703125" style="16" customWidth="1"/>
    <col min="11" max="12" width="1.85546875" style="16" customWidth="1"/>
    <col min="13" max="13" width="4.140625" style="16" hidden="1" customWidth="1"/>
    <col min="14" max="14" width="0.140625" style="16" customWidth="1"/>
    <col min="15" max="15" width="14.5703125" style="16" hidden="1" customWidth="1"/>
    <col min="16" max="16" width="10.5703125" style="16" hidden="1" customWidth="1"/>
    <col min="17" max="17" width="9.28515625" style="16" hidden="1" customWidth="1"/>
    <col min="18" max="18" width="10.140625" style="16" hidden="1" customWidth="1"/>
    <col min="19" max="16384" width="9.140625" style="16"/>
  </cols>
  <sheetData>
    <row r="1" spans="1:18" ht="12" customHeight="1">
      <c r="A1" s="86"/>
      <c r="B1" s="87"/>
      <c r="C1" s="87"/>
      <c r="D1" s="87"/>
      <c r="E1" s="87"/>
      <c r="F1" s="87"/>
      <c r="G1" s="88"/>
      <c r="H1" s="87"/>
      <c r="I1" s="87"/>
      <c r="J1" s="87"/>
      <c r="K1" s="87"/>
      <c r="L1" s="89"/>
      <c r="Q1" s="16">
        <f>IF(OR(MID(D4,1,4)="FGTS",RIGHT(D4,4)="FGTS"),IF(B50&lt;350000,0,1),1)</f>
        <v>1</v>
      </c>
    </row>
    <row r="2" spans="1:18" ht="12" customHeight="1">
      <c r="A2" s="90"/>
      <c r="D2" s="659" t="s">
        <v>166</v>
      </c>
      <c r="E2" s="660"/>
      <c r="F2" s="660"/>
      <c r="G2" s="660"/>
      <c r="H2" s="657" t="s">
        <v>467</v>
      </c>
      <c r="I2" s="657"/>
      <c r="J2" s="658"/>
      <c r="K2" s="649"/>
      <c r="L2" s="650"/>
    </row>
    <row r="3" spans="1:18" ht="9.75" customHeight="1">
      <c r="A3" s="91"/>
      <c r="D3" s="654" t="s">
        <v>671</v>
      </c>
      <c r="E3" s="655"/>
      <c r="F3" s="655"/>
      <c r="G3" s="655"/>
      <c r="H3" s="656"/>
      <c r="I3" s="26" t="s">
        <v>167</v>
      </c>
      <c r="J3" s="24"/>
      <c r="K3" s="33"/>
      <c r="L3" s="92"/>
      <c r="R3" s="16">
        <v>1</v>
      </c>
    </row>
    <row r="4" spans="1:18" ht="12" customHeight="1">
      <c r="A4" s="90"/>
      <c r="D4" s="371" t="s">
        <v>639</v>
      </c>
      <c r="E4" s="372"/>
      <c r="F4" s="373"/>
      <c r="G4" s="374" t="s">
        <v>640</v>
      </c>
      <c r="H4" s="375"/>
      <c r="I4" s="597" t="s">
        <v>165</v>
      </c>
      <c r="J4" s="598"/>
      <c r="K4" s="34"/>
      <c r="L4" s="92"/>
    </row>
    <row r="5" spans="1:18" ht="12" customHeight="1">
      <c r="A5" s="90"/>
      <c r="B5" s="665" t="s">
        <v>271</v>
      </c>
      <c r="C5" s="666"/>
      <c r="D5" s="661" t="s">
        <v>257</v>
      </c>
      <c r="E5" s="661"/>
      <c r="F5" s="662" t="s">
        <v>354</v>
      </c>
      <c r="G5" s="663"/>
      <c r="H5" s="664"/>
      <c r="I5" s="185"/>
      <c r="J5" s="185"/>
      <c r="K5" s="34"/>
      <c r="L5" s="92"/>
    </row>
    <row r="6" spans="1:18" ht="4.5" customHeight="1">
      <c r="A6" s="90"/>
      <c r="L6" s="93"/>
      <c r="N6" s="25"/>
      <c r="R6" s="16">
        <v>1</v>
      </c>
    </row>
    <row r="7" spans="1:18" ht="9" customHeight="1">
      <c r="A7" s="90"/>
      <c r="B7" s="651" t="s">
        <v>148</v>
      </c>
      <c r="C7" s="652"/>
      <c r="D7" s="652"/>
      <c r="E7" s="652"/>
      <c r="F7" s="652"/>
      <c r="G7" s="653"/>
      <c r="H7" s="667" t="s">
        <v>26</v>
      </c>
      <c r="I7" s="668"/>
      <c r="J7" s="669"/>
      <c r="L7" s="93"/>
    </row>
    <row r="8" spans="1:18" s="29" customFormat="1" ht="16.5" customHeight="1">
      <c r="A8" s="94"/>
      <c r="B8" s="600" t="s">
        <v>940</v>
      </c>
      <c r="C8" s="600"/>
      <c r="D8" s="600"/>
      <c r="E8" s="600"/>
      <c r="F8" s="600"/>
      <c r="G8" s="600"/>
      <c r="H8" s="594" t="s">
        <v>941</v>
      </c>
      <c r="I8" s="595"/>
      <c r="J8" s="596"/>
      <c r="L8" s="95"/>
      <c r="R8" s="29">
        <v>1</v>
      </c>
    </row>
    <row r="9" spans="1:18" ht="4.5" customHeight="1">
      <c r="A9" s="90"/>
      <c r="B9" s="1"/>
      <c r="C9" s="1"/>
      <c r="D9" s="1"/>
      <c r="E9" s="1"/>
      <c r="F9" s="1"/>
      <c r="G9" s="1"/>
      <c r="H9" s="1"/>
      <c r="I9" s="1"/>
      <c r="J9" s="1"/>
      <c r="L9" s="93"/>
    </row>
    <row r="10" spans="1:18" ht="9" customHeight="1">
      <c r="A10" s="90"/>
      <c r="B10" s="641" t="s">
        <v>158</v>
      </c>
      <c r="C10" s="641"/>
      <c r="D10" s="641"/>
      <c r="E10" s="641"/>
      <c r="F10" s="641"/>
      <c r="G10" s="73" t="s">
        <v>32</v>
      </c>
      <c r="H10" s="606" t="s">
        <v>64</v>
      </c>
      <c r="I10" s="607"/>
      <c r="J10" s="608"/>
      <c r="L10" s="93"/>
      <c r="R10" s="16">
        <v>1</v>
      </c>
    </row>
    <row r="11" spans="1:18" ht="16.5" customHeight="1">
      <c r="A11" s="90"/>
      <c r="B11" s="599" t="s">
        <v>942</v>
      </c>
      <c r="C11" s="599"/>
      <c r="D11" s="599"/>
      <c r="E11" s="599"/>
      <c r="F11" s="599"/>
      <c r="G11" s="191">
        <v>812</v>
      </c>
      <c r="H11" s="594"/>
      <c r="I11" s="595"/>
      <c r="J11" s="596"/>
      <c r="L11" s="93"/>
    </row>
    <row r="12" spans="1:18" ht="9" customHeight="1">
      <c r="A12" s="90"/>
      <c r="B12" s="696" t="s">
        <v>0</v>
      </c>
      <c r="C12" s="697"/>
      <c r="D12" s="696" t="s">
        <v>1</v>
      </c>
      <c r="E12" s="703"/>
      <c r="F12" s="697"/>
      <c r="G12" s="73" t="s">
        <v>33</v>
      </c>
      <c r="H12" s="606" t="s">
        <v>16</v>
      </c>
      <c r="I12" s="607"/>
      <c r="J12" s="608"/>
      <c r="L12" s="93"/>
      <c r="N12" s="693">
        <f>IF(OR(MID(D4,1,4)="FGTS",RIGHT(D4,4)="FGTS"),1,0)</f>
        <v>0</v>
      </c>
      <c r="O12" s="694"/>
      <c r="P12" s="693">
        <f>IF(AND($B$50&gt;350000,N12=1),1,0)</f>
        <v>0</v>
      </c>
      <c r="Q12" s="694"/>
    </row>
    <row r="13" spans="1:18" ht="16.5" customHeight="1">
      <c r="A13" s="90"/>
      <c r="B13" s="594" t="s">
        <v>943</v>
      </c>
      <c r="C13" s="596"/>
      <c r="D13" s="594" t="s">
        <v>944</v>
      </c>
      <c r="E13" s="595"/>
      <c r="F13" s="596"/>
      <c r="G13" s="216" t="s">
        <v>945</v>
      </c>
      <c r="H13" s="594" t="s">
        <v>946</v>
      </c>
      <c r="I13" s="595"/>
      <c r="J13" s="596"/>
      <c r="L13" s="93"/>
    </row>
    <row r="14" spans="1:18" ht="4.5" customHeight="1">
      <c r="A14" s="90"/>
      <c r="L14" s="93"/>
    </row>
    <row r="15" spans="1:18" ht="16.5" customHeight="1">
      <c r="A15" s="90"/>
      <c r="B15" s="642" t="s">
        <v>219</v>
      </c>
      <c r="C15" s="643"/>
      <c r="D15" s="643"/>
      <c r="E15" s="643"/>
      <c r="F15" s="643"/>
      <c r="G15" s="643"/>
      <c r="H15" s="643"/>
      <c r="I15" s="643"/>
      <c r="J15" s="644"/>
      <c r="L15" s="93"/>
    </row>
    <row r="16" spans="1:18" ht="16.5" customHeight="1">
      <c r="A16" s="90"/>
      <c r="B16" s="645"/>
      <c r="C16" s="646"/>
      <c r="D16" s="646"/>
      <c r="E16" s="646"/>
      <c r="F16" s="646"/>
      <c r="G16" s="646"/>
      <c r="H16" s="646"/>
      <c r="I16" s="646"/>
      <c r="J16" s="647"/>
      <c r="L16" s="93"/>
    </row>
    <row r="17" spans="1:12" ht="16.5" customHeight="1">
      <c r="A17" s="90"/>
      <c r="B17" s="645"/>
      <c r="C17" s="646"/>
      <c r="D17" s="646"/>
      <c r="E17" s="646"/>
      <c r="F17" s="646"/>
      <c r="G17" s="646"/>
      <c r="H17" s="646"/>
      <c r="I17" s="646"/>
      <c r="J17" s="647"/>
      <c r="L17" s="93"/>
    </row>
    <row r="18" spans="1:12" ht="16.5" customHeight="1">
      <c r="A18" s="90"/>
      <c r="B18" s="645"/>
      <c r="C18" s="646"/>
      <c r="D18" s="646"/>
      <c r="E18" s="646"/>
      <c r="F18" s="646"/>
      <c r="G18" s="646"/>
      <c r="H18" s="646"/>
      <c r="I18" s="646"/>
      <c r="J18" s="647"/>
      <c r="L18" s="93"/>
    </row>
    <row r="19" spans="1:12" ht="16.5" customHeight="1">
      <c r="A19" s="90"/>
      <c r="B19" s="645"/>
      <c r="C19" s="646"/>
      <c r="D19" s="646"/>
      <c r="E19" s="646"/>
      <c r="F19" s="646"/>
      <c r="G19" s="646"/>
      <c r="H19" s="646"/>
      <c r="I19" s="646"/>
      <c r="J19" s="647"/>
      <c r="L19" s="93"/>
    </row>
    <row r="20" spans="1:12" ht="16.5" customHeight="1">
      <c r="A20" s="90"/>
      <c r="B20" s="645"/>
      <c r="C20" s="646"/>
      <c r="D20" s="646"/>
      <c r="E20" s="646"/>
      <c r="F20" s="646"/>
      <c r="G20" s="646"/>
      <c r="H20" s="646"/>
      <c r="I20" s="646"/>
      <c r="J20" s="647"/>
      <c r="L20" s="93"/>
    </row>
    <row r="21" spans="1:12" ht="16.5" customHeight="1">
      <c r="A21" s="90"/>
      <c r="B21" s="645"/>
      <c r="C21" s="646"/>
      <c r="D21" s="646"/>
      <c r="E21" s="646"/>
      <c r="F21" s="646"/>
      <c r="G21" s="646"/>
      <c r="H21" s="646"/>
      <c r="I21" s="646"/>
      <c r="J21" s="647"/>
      <c r="L21" s="93"/>
    </row>
    <row r="22" spans="1:12" ht="16.5" customHeight="1">
      <c r="A22" s="90"/>
      <c r="B22" s="645"/>
      <c r="C22" s="646"/>
      <c r="D22" s="646"/>
      <c r="E22" s="646"/>
      <c r="F22" s="646"/>
      <c r="G22" s="646"/>
      <c r="H22" s="646"/>
      <c r="I22" s="646"/>
      <c r="J22" s="647"/>
      <c r="L22" s="93"/>
    </row>
    <row r="23" spans="1:12" ht="16.5" customHeight="1">
      <c r="A23" s="90"/>
      <c r="B23" s="645"/>
      <c r="C23" s="646"/>
      <c r="D23" s="646"/>
      <c r="E23" s="646"/>
      <c r="F23" s="646"/>
      <c r="G23" s="646"/>
      <c r="H23" s="646"/>
      <c r="I23" s="646"/>
      <c r="J23" s="647"/>
      <c r="L23" s="93"/>
    </row>
    <row r="24" spans="1:12" ht="16.5" customHeight="1">
      <c r="A24" s="90"/>
      <c r="B24" s="645"/>
      <c r="C24" s="646"/>
      <c r="D24" s="646"/>
      <c r="E24" s="646"/>
      <c r="F24" s="646"/>
      <c r="G24" s="646"/>
      <c r="H24" s="646"/>
      <c r="I24" s="646"/>
      <c r="J24" s="647"/>
      <c r="L24" s="93"/>
    </row>
    <row r="25" spans="1:12" ht="16.5" customHeight="1">
      <c r="A25" s="90"/>
      <c r="B25" s="645"/>
      <c r="C25" s="646"/>
      <c r="D25" s="646"/>
      <c r="E25" s="646"/>
      <c r="F25" s="646"/>
      <c r="G25" s="646"/>
      <c r="H25" s="646"/>
      <c r="I25" s="646"/>
      <c r="J25" s="647"/>
      <c r="L25" s="93"/>
    </row>
    <row r="26" spans="1:12" ht="16.5" customHeight="1">
      <c r="A26" s="90"/>
      <c r="B26" s="645"/>
      <c r="C26" s="646"/>
      <c r="D26" s="646"/>
      <c r="E26" s="646"/>
      <c r="F26" s="646"/>
      <c r="G26" s="646"/>
      <c r="H26" s="646"/>
      <c r="I26" s="646"/>
      <c r="J26" s="647"/>
      <c r="L26" s="93"/>
    </row>
    <row r="27" spans="1:12" ht="16.5" customHeight="1">
      <c r="A27" s="90"/>
      <c r="B27" s="645"/>
      <c r="C27" s="646"/>
      <c r="D27" s="646"/>
      <c r="E27" s="646"/>
      <c r="F27" s="646"/>
      <c r="G27" s="646"/>
      <c r="H27" s="646"/>
      <c r="I27" s="646"/>
      <c r="J27" s="647"/>
      <c r="L27" s="93"/>
    </row>
    <row r="28" spans="1:12" ht="16.5" customHeight="1">
      <c r="A28" s="90"/>
      <c r="B28" s="645"/>
      <c r="C28" s="646"/>
      <c r="D28" s="646"/>
      <c r="E28" s="646"/>
      <c r="F28" s="646"/>
      <c r="G28" s="646"/>
      <c r="H28" s="646"/>
      <c r="I28" s="646"/>
      <c r="J28" s="647"/>
      <c r="L28" s="93"/>
    </row>
    <row r="29" spans="1:12" ht="16.5" customHeight="1">
      <c r="A29" s="90"/>
      <c r="B29" s="648"/>
      <c r="C29" s="616"/>
      <c r="D29" s="616"/>
      <c r="E29" s="616"/>
      <c r="F29" s="616"/>
      <c r="G29" s="616"/>
      <c r="H29" s="616"/>
      <c r="I29" s="616"/>
      <c r="J29" s="617"/>
      <c r="L29" s="93"/>
    </row>
    <row r="30" spans="1:12" ht="4.5" customHeight="1">
      <c r="A30" s="90"/>
      <c r="L30" s="93"/>
    </row>
    <row r="31" spans="1:12" ht="15" customHeight="1">
      <c r="A31" s="90"/>
      <c r="B31" s="706" t="s">
        <v>161</v>
      </c>
      <c r="C31" s="707"/>
      <c r="D31" s="707"/>
      <c r="E31" s="707"/>
      <c r="F31" s="707"/>
      <c r="G31" s="707"/>
      <c r="H31" s="707"/>
      <c r="I31" s="707"/>
      <c r="J31" s="708"/>
      <c r="L31" s="93"/>
    </row>
    <row r="32" spans="1:12" ht="9" customHeight="1">
      <c r="A32" s="90"/>
      <c r="B32" s="698" t="s">
        <v>65</v>
      </c>
      <c r="C32" s="699"/>
      <c r="D32" s="709" t="s">
        <v>66</v>
      </c>
      <c r="E32" s="709"/>
      <c r="F32" s="709" t="s">
        <v>69</v>
      </c>
      <c r="G32" s="709"/>
      <c r="H32" s="709" t="s">
        <v>2</v>
      </c>
      <c r="I32" s="709"/>
      <c r="J32" s="709"/>
      <c r="L32" s="93"/>
    </row>
    <row r="33" spans="1:12" ht="17.25" customHeight="1">
      <c r="A33" s="90"/>
      <c r="B33" s="695" t="s">
        <v>53</v>
      </c>
      <c r="C33" s="695"/>
      <c r="D33" s="700" t="s">
        <v>4</v>
      </c>
      <c r="E33" s="701"/>
      <c r="F33" s="695" t="s">
        <v>656</v>
      </c>
      <c r="G33" s="695"/>
      <c r="H33" s="702">
        <v>10</v>
      </c>
      <c r="I33" s="702"/>
      <c r="J33" s="702"/>
      <c r="L33" s="93"/>
    </row>
    <row r="34" spans="1:12" ht="4.5" customHeight="1">
      <c r="A34" s="90"/>
      <c r="B34" s="71"/>
      <c r="C34" s="18"/>
      <c r="D34" s="17"/>
      <c r="E34" s="17"/>
      <c r="F34" s="18"/>
      <c r="G34" s="18"/>
      <c r="H34" s="18"/>
      <c r="I34" s="604"/>
      <c r="J34" s="605"/>
      <c r="L34" s="93"/>
    </row>
    <row r="35" spans="1:12" ht="15" customHeight="1">
      <c r="A35" s="90"/>
      <c r="B35" s="718" t="s">
        <v>31</v>
      </c>
      <c r="C35" s="719"/>
      <c r="D35" s="719"/>
      <c r="E35" s="719"/>
      <c r="F35" s="719"/>
      <c r="G35" s="719"/>
      <c r="H35" s="719"/>
      <c r="I35" s="719"/>
      <c r="J35" s="720"/>
      <c r="L35" s="93"/>
    </row>
    <row r="36" spans="1:12" ht="9" customHeight="1">
      <c r="A36" s="90"/>
      <c r="B36" s="714" t="s">
        <v>159</v>
      </c>
      <c r="C36" s="715"/>
      <c r="D36" s="28" t="s">
        <v>70</v>
      </c>
      <c r="E36" s="638" t="s">
        <v>160</v>
      </c>
      <c r="F36" s="639"/>
      <c r="G36" s="28" t="s">
        <v>18</v>
      </c>
      <c r="H36" s="638" t="s">
        <v>19</v>
      </c>
      <c r="I36" s="640"/>
      <c r="J36" s="639"/>
      <c r="L36" s="93"/>
    </row>
    <row r="37" spans="1:12" ht="12.75" customHeight="1">
      <c r="A37" s="90"/>
      <c r="B37" s="690">
        <v>360</v>
      </c>
      <c r="C37" s="691"/>
      <c r="D37" s="30">
        <v>100</v>
      </c>
      <c r="E37" s="684">
        <v>12</v>
      </c>
      <c r="F37" s="684"/>
      <c r="G37" s="32" t="s">
        <v>231</v>
      </c>
      <c r="H37" s="678" t="s">
        <v>649</v>
      </c>
      <c r="I37" s="679"/>
      <c r="J37" s="680"/>
      <c r="L37" s="93"/>
    </row>
    <row r="38" spans="1:12" ht="4.5" customHeight="1">
      <c r="A38" s="90"/>
      <c r="B38" s="68"/>
      <c r="I38" s="717"/>
      <c r="J38" s="605"/>
      <c r="L38" s="93"/>
    </row>
    <row r="39" spans="1:12" ht="15" customHeight="1">
      <c r="A39" s="90"/>
      <c r="B39" s="692" t="s">
        <v>389</v>
      </c>
      <c r="C39" s="692"/>
      <c r="D39" s="692"/>
      <c r="E39" s="692"/>
      <c r="F39" s="692"/>
      <c r="G39" s="692"/>
      <c r="H39" s="692"/>
      <c r="I39" s="692"/>
      <c r="J39" s="692"/>
      <c r="L39" s="93"/>
    </row>
    <row r="40" spans="1:12" ht="16.5" customHeight="1">
      <c r="A40" s="90"/>
      <c r="B40" s="23" t="s">
        <v>362</v>
      </c>
      <c r="C40" s="685" t="s">
        <v>387</v>
      </c>
      <c r="D40" s="686"/>
      <c r="E40" s="687" t="s">
        <v>388</v>
      </c>
      <c r="F40" s="688"/>
      <c r="G40" s="689"/>
      <c r="H40" s="716" t="s">
        <v>71</v>
      </c>
      <c r="I40" s="716"/>
      <c r="J40" s="716"/>
      <c r="L40" s="93"/>
    </row>
    <row r="41" spans="1:12" ht="12.75" customHeight="1">
      <c r="A41" s="90"/>
      <c r="B41" s="99" t="s">
        <v>247</v>
      </c>
      <c r="C41" s="682">
        <v>79.3</v>
      </c>
      <c r="D41" s="683"/>
      <c r="E41" s="682"/>
      <c r="F41" s="713"/>
      <c r="G41" s="683"/>
      <c r="H41" s="681">
        <f>C41+E41</f>
        <v>79.3</v>
      </c>
      <c r="I41" s="681"/>
      <c r="J41" s="681"/>
      <c r="L41" s="93"/>
    </row>
    <row r="42" spans="1:12" ht="12.75" customHeight="1">
      <c r="A42" s="90"/>
      <c r="B42" s="100" t="s">
        <v>947</v>
      </c>
      <c r="C42" s="674">
        <v>60</v>
      </c>
      <c r="D42" s="676"/>
      <c r="E42" s="674"/>
      <c r="F42" s="675"/>
      <c r="G42" s="676"/>
      <c r="H42" s="673">
        <f>SUM(C42:G42)</f>
        <v>60</v>
      </c>
      <c r="I42" s="673"/>
      <c r="J42" s="673"/>
      <c r="L42" s="93"/>
    </row>
    <row r="43" spans="1:12" ht="12.75" customHeight="1">
      <c r="A43" s="90"/>
      <c r="B43" s="100"/>
      <c r="C43" s="674"/>
      <c r="D43" s="676"/>
      <c r="E43" s="674"/>
      <c r="F43" s="675"/>
      <c r="G43" s="676"/>
      <c r="H43" s="673">
        <f>SUM(C43:G43)</f>
        <v>0</v>
      </c>
      <c r="I43" s="673"/>
      <c r="J43" s="673"/>
      <c r="L43" s="93"/>
    </row>
    <row r="44" spans="1:12" ht="12.75" customHeight="1">
      <c r="A44" s="90"/>
      <c r="B44" s="231"/>
      <c r="C44" s="670"/>
      <c r="D44" s="672"/>
      <c r="E44" s="670"/>
      <c r="F44" s="671"/>
      <c r="G44" s="672"/>
      <c r="H44" s="677">
        <f>SUM(C44:G44)</f>
        <v>0</v>
      </c>
      <c r="I44" s="677"/>
      <c r="J44" s="677"/>
      <c r="L44" s="93"/>
    </row>
    <row r="45" spans="1:12" ht="12.75" customHeight="1">
      <c r="A45" s="90"/>
      <c r="B45" s="101"/>
      <c r="C45" s="710"/>
      <c r="D45" s="712"/>
      <c r="E45" s="710"/>
      <c r="F45" s="711"/>
      <c r="G45" s="712"/>
      <c r="H45" s="705">
        <f>SUM(C45:G45)</f>
        <v>0</v>
      </c>
      <c r="I45" s="705"/>
      <c r="J45" s="705"/>
      <c r="L45" s="93"/>
    </row>
    <row r="46" spans="1:12" ht="12.75" customHeight="1">
      <c r="A46" s="90"/>
      <c r="B46" s="72" t="s">
        <v>67</v>
      </c>
      <c r="C46" s="704">
        <f>SUM(C41:D45)</f>
        <v>139.30000000000001</v>
      </c>
      <c r="D46" s="704"/>
      <c r="E46" s="704">
        <f>SUM(E41:G45)</f>
        <v>0</v>
      </c>
      <c r="F46" s="704"/>
      <c r="G46" s="704"/>
      <c r="H46" s="704">
        <f>SUM(H41:J45)</f>
        <v>139.30000000000001</v>
      </c>
      <c r="I46" s="704"/>
      <c r="J46" s="704"/>
      <c r="L46" s="93"/>
    </row>
    <row r="47" spans="1:12" ht="4.5" customHeight="1">
      <c r="A47" s="90"/>
      <c r="L47" s="93"/>
    </row>
    <row r="48" spans="1:12" ht="15" customHeight="1">
      <c r="A48" s="90"/>
      <c r="B48" s="725" t="s">
        <v>162</v>
      </c>
      <c r="C48" s="726"/>
      <c r="D48" s="726"/>
      <c r="E48" s="726"/>
      <c r="F48" s="726"/>
      <c r="G48" s="726"/>
      <c r="H48" s="730" t="s">
        <v>272</v>
      </c>
      <c r="I48" s="731"/>
      <c r="J48" s="732"/>
      <c r="L48" s="93"/>
    </row>
    <row r="49" spans="1:14" ht="12.75" customHeight="1">
      <c r="A49" s="90"/>
      <c r="B49" s="723" t="s">
        <v>152</v>
      </c>
      <c r="C49" s="724"/>
      <c r="D49" s="724"/>
      <c r="E49" s="724"/>
      <c r="F49" s="724"/>
      <c r="G49" s="724"/>
      <c r="H49" s="733"/>
      <c r="I49" s="734"/>
      <c r="J49" s="735"/>
      <c r="L49" s="93"/>
    </row>
    <row r="50" spans="1:14" ht="20.100000000000001" customHeight="1">
      <c r="A50" s="90"/>
      <c r="B50" s="721">
        <f>'Página 3'!$X$18</f>
        <v>293000</v>
      </c>
      <c r="C50" s="722"/>
      <c r="D50" s="722"/>
      <c r="E50" s="722"/>
      <c r="F50" s="722"/>
      <c r="G50" s="722"/>
      <c r="H50" s="727">
        <v>290000</v>
      </c>
      <c r="I50" s="728"/>
      <c r="J50" s="729"/>
      <c r="L50" s="93"/>
      <c r="N50" s="16">
        <f>IF(B50&gt;350000,IF(N12=1,1,0),0)</f>
        <v>0</v>
      </c>
    </row>
    <row r="51" spans="1:14" ht="4.5" customHeight="1">
      <c r="A51" s="90"/>
      <c r="L51" s="93"/>
    </row>
    <row r="52" spans="1:14" ht="9" customHeight="1">
      <c r="A52" s="90"/>
      <c r="B52" s="601" t="s">
        <v>171</v>
      </c>
      <c r="C52" s="602"/>
      <c r="D52" s="602"/>
      <c r="E52" s="602"/>
      <c r="F52" s="603"/>
      <c r="G52" s="618" t="s">
        <v>172</v>
      </c>
      <c r="H52" s="618"/>
      <c r="I52" s="618"/>
      <c r="J52" s="619"/>
      <c r="L52" s="93"/>
    </row>
    <row r="53" spans="1:14" ht="22.5" customHeight="1">
      <c r="A53" s="90"/>
      <c r="B53" s="635"/>
      <c r="C53" s="636"/>
      <c r="D53" s="636"/>
      <c r="E53" s="636"/>
      <c r="F53" s="637"/>
      <c r="G53" s="620"/>
      <c r="H53" s="621"/>
      <c r="I53" s="621"/>
      <c r="J53" s="622"/>
      <c r="L53" s="93"/>
    </row>
    <row r="54" spans="1:14" ht="13.5" customHeight="1">
      <c r="A54" s="90"/>
      <c r="B54" s="632" t="s">
        <v>948</v>
      </c>
      <c r="C54" s="633"/>
      <c r="D54" s="633"/>
      <c r="E54" s="633"/>
      <c r="F54" s="634"/>
      <c r="G54" s="623"/>
      <c r="H54" s="624"/>
      <c r="I54" s="624"/>
      <c r="J54" s="625"/>
      <c r="L54" s="93"/>
    </row>
    <row r="55" spans="1:14" ht="9" customHeight="1">
      <c r="A55" s="90"/>
      <c r="B55" s="629"/>
      <c r="C55" s="630"/>
      <c r="D55" s="630"/>
      <c r="E55" s="630"/>
      <c r="F55" s="631"/>
      <c r="G55" s="623"/>
      <c r="H55" s="624"/>
      <c r="I55" s="624"/>
      <c r="J55" s="625"/>
      <c r="L55" s="93"/>
    </row>
    <row r="56" spans="1:14" ht="9" customHeight="1">
      <c r="A56" s="90"/>
      <c r="B56" s="601" t="s">
        <v>68</v>
      </c>
      <c r="C56" s="602"/>
      <c r="D56" s="602"/>
      <c r="E56" s="602"/>
      <c r="F56" s="603"/>
      <c r="G56" s="623"/>
      <c r="H56" s="624"/>
      <c r="I56" s="624"/>
      <c r="J56" s="625"/>
      <c r="L56" s="93"/>
    </row>
    <row r="57" spans="1:14" ht="25.5" customHeight="1">
      <c r="A57" s="90"/>
      <c r="B57" s="615">
        <v>41473</v>
      </c>
      <c r="C57" s="616"/>
      <c r="D57" s="616"/>
      <c r="E57" s="616"/>
      <c r="F57" s="617"/>
      <c r="G57" s="626"/>
      <c r="H57" s="627"/>
      <c r="I57" s="627"/>
      <c r="J57" s="628"/>
      <c r="L57" s="93"/>
    </row>
    <row r="58" spans="1:14" ht="16.5" customHeight="1">
      <c r="A58" s="90"/>
      <c r="B58" s="609" t="s">
        <v>273</v>
      </c>
      <c r="C58" s="610"/>
      <c r="D58" s="610"/>
      <c r="E58" s="610"/>
      <c r="F58" s="610"/>
      <c r="G58" s="610"/>
      <c r="H58" s="610"/>
      <c r="I58" s="610"/>
      <c r="J58" s="611"/>
      <c r="L58" s="93"/>
    </row>
    <row r="59" spans="1:14" ht="42" customHeight="1">
      <c r="A59" s="90"/>
      <c r="B59" s="612"/>
      <c r="C59" s="613"/>
      <c r="D59" s="613"/>
      <c r="E59" s="613"/>
      <c r="F59" s="613"/>
      <c r="G59" s="613"/>
      <c r="H59" s="613"/>
      <c r="I59" s="613"/>
      <c r="J59" s="614"/>
      <c r="L59" s="93"/>
    </row>
    <row r="60" spans="1:14" ht="8.25" customHeight="1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8"/>
    </row>
  </sheetData>
  <sheetProtection selectLockedCells="1"/>
  <mergeCells count="79">
    <mergeCell ref="B50:G50"/>
    <mergeCell ref="B49:G49"/>
    <mergeCell ref="B48:G48"/>
    <mergeCell ref="H50:J50"/>
    <mergeCell ref="H48:J49"/>
    <mergeCell ref="C46:D46"/>
    <mergeCell ref="H46:J46"/>
    <mergeCell ref="H45:J45"/>
    <mergeCell ref="E46:G46"/>
    <mergeCell ref="B31:J31"/>
    <mergeCell ref="F32:G32"/>
    <mergeCell ref="D32:E32"/>
    <mergeCell ref="E45:G45"/>
    <mergeCell ref="H32:J32"/>
    <mergeCell ref="E41:G41"/>
    <mergeCell ref="C42:D42"/>
    <mergeCell ref="C45:D45"/>
    <mergeCell ref="B36:C36"/>
    <mergeCell ref="H40:J40"/>
    <mergeCell ref="I38:J38"/>
    <mergeCell ref="B35:J35"/>
    <mergeCell ref="P12:Q12"/>
    <mergeCell ref="N12:O12"/>
    <mergeCell ref="F33:G33"/>
    <mergeCell ref="D13:F13"/>
    <mergeCell ref="B12:C12"/>
    <mergeCell ref="B32:C32"/>
    <mergeCell ref="B13:C13"/>
    <mergeCell ref="B33:C33"/>
    <mergeCell ref="D33:E33"/>
    <mergeCell ref="H12:J12"/>
    <mergeCell ref="H33:J33"/>
    <mergeCell ref="D12:F12"/>
    <mergeCell ref="H37:J37"/>
    <mergeCell ref="H41:J41"/>
    <mergeCell ref="C41:D41"/>
    <mergeCell ref="E37:F37"/>
    <mergeCell ref="C40:D40"/>
    <mergeCell ref="E40:G40"/>
    <mergeCell ref="B37:C37"/>
    <mergeCell ref="B39:J39"/>
    <mergeCell ref="E44:G44"/>
    <mergeCell ref="C44:D44"/>
    <mergeCell ref="H42:J42"/>
    <mergeCell ref="E42:G42"/>
    <mergeCell ref="H44:J44"/>
    <mergeCell ref="C43:D43"/>
    <mergeCell ref="E43:G43"/>
    <mergeCell ref="H43:J43"/>
    <mergeCell ref="K2:L2"/>
    <mergeCell ref="B7:G7"/>
    <mergeCell ref="D3:H3"/>
    <mergeCell ref="H2:J2"/>
    <mergeCell ref="D2:G2"/>
    <mergeCell ref="D5:E5"/>
    <mergeCell ref="F5:H5"/>
    <mergeCell ref="B5:C5"/>
    <mergeCell ref="H7:J7"/>
    <mergeCell ref="B52:F52"/>
    <mergeCell ref="I34:J34"/>
    <mergeCell ref="H10:J10"/>
    <mergeCell ref="B58:J59"/>
    <mergeCell ref="B56:F56"/>
    <mergeCell ref="B57:F57"/>
    <mergeCell ref="G52:J52"/>
    <mergeCell ref="G53:J57"/>
    <mergeCell ref="B55:F55"/>
    <mergeCell ref="B54:F54"/>
    <mergeCell ref="B53:F53"/>
    <mergeCell ref="H11:J11"/>
    <mergeCell ref="E36:F36"/>
    <mergeCell ref="H36:J36"/>
    <mergeCell ref="B10:F10"/>
    <mergeCell ref="B15:J29"/>
    <mergeCell ref="H8:J8"/>
    <mergeCell ref="I4:J4"/>
    <mergeCell ref="H13:J13"/>
    <mergeCell ref="B11:F11"/>
    <mergeCell ref="B8:G8"/>
  </mergeCells>
  <phoneticPr fontId="5" type="noConversion"/>
  <conditionalFormatting sqref="N12:Q12">
    <cfRule type="cellIs" dxfId="7" priority="1" stopIfTrue="1" operator="equal">
      <formula>"X"</formula>
    </cfRule>
  </conditionalFormatting>
  <dataValidations count="10">
    <dataValidation allowBlank="1" showInputMessage="1" showErrorMessage="1" promptTitle="IMPORTANTE!" prompt="Não esquecer de informar o valor de compra e venda ao lado." sqref="B50:G50"/>
    <dataValidation allowBlank="1" showInputMessage="1" showErrorMessage="1" promptTitle="IMPORTANTE!" prompt="Informar nome completo da empresa, CREA e Nome do Engenheiro Responsável pelo laudo de avaliação." sqref="B53:F53"/>
    <dataValidation allowBlank="1" showInputMessage="1" showErrorMessage="1" promptTitle="ATENÇÃO!" prompt="Não esquecer de preencher a data do laudo no campo abaixo!" sqref="H50:J50"/>
    <dataValidation type="list" allowBlank="1" sqref="D5">
      <formula1>$N$3:$N$11</formula1>
    </dataValidation>
    <dataValidation type="list" allowBlank="1" sqref="I5">
      <formula1>$O$1:$O$3</formula1>
    </dataValidation>
    <dataValidation allowBlank="1" sqref="D4"/>
    <dataValidation errorStyle="warning" allowBlank="1" showInputMessage="1" showErrorMessage="1" error="Não esquecer de inserir o cpf ao lado." promptTitle="ATENÇÃO!" prompt="Cuidado ao preencher o nome correto do cliente._x000a_Não esquecer de preencher o CPF do cliente ao lado." sqref="B8:G8"/>
    <dataValidation allowBlank="1" showInputMessage="1" showErrorMessage="1" promptTitle="ATENÇÃO!" prompt="informar o numero do imóvel no campo ao lado e em caso de casa ou apartamento em condomínio, informar o número do imóvel no campo complemento._x000a_Em caso de divergência de endereço favor informar seus detalhes no campo comentários na folha 3 do laudo." sqref="B11:F11"/>
    <dataValidation allowBlank="1" showInputMessage="1" showErrorMessage="1" promptTitle="ATENÇÃO!" prompt="Não esquecer de informar o CEP do imóvel no campo ao lado." sqref="D13:F13"/>
    <dataValidation allowBlank="1" showInputMessage="1" showErrorMessage="1" promptTitle="ATENÇÃO!" prompt="Inserir foto da fachada ( extensão jpeg)._x000a_Há a opção de compressão da foto, na barra de ferramentas &quot;figura&quot;, no botão COMPRESS PICTURES._x000a_Desta forma reduzirá o tamanho do arquivo a ser enviado ao Banco Santander. Tamanho máximo aceito até 7Mb._x000a_" sqref="B15:J29"/>
  </dataValidations>
  <printOptions horizontalCentered="1" verticalCentered="1"/>
  <pageMargins left="0.59055118110236227" right="0.19685039370078741" top="0.39370078740157483" bottom="0.39370078740157483" header="0" footer="0"/>
  <pageSetup paperSize="9" scale="95" orientation="portrait" r:id="rId1"/>
  <headerFooter alignWithMargins="0">
    <oddFooter>&amp;R&amp;8 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lista!B3:B19</xm:f>
          </x14:formula1>
          <xm:sqref>B33:C33</xm:sqref>
        </x14:dataValidation>
        <x14:dataValidation type="list" allowBlank="1">
          <x14:formula1>
            <xm:f>lista!E3:E8</xm:f>
          </x14:formula1>
          <xm:sqref>D33:E33</xm:sqref>
        </x14:dataValidation>
        <x14:dataValidation type="list" allowBlank="1">
          <x14:formula1>
            <xm:f>lista!G3:G11</xm:f>
          </x14:formula1>
          <xm:sqref>F33:G33</xm:sqref>
        </x14:dataValidation>
        <x14:dataValidation type="list" allowBlank="1" showInputMessage="1" showErrorMessage="1">
          <x14:formula1>
            <xm:f>lista!L3:L9</xm:f>
          </x14:formula1>
          <xm:sqref>H37:J37</xm:sqref>
        </x14:dataValidation>
        <x14:dataValidation type="list" allowBlank="1" showInputMessage="1" showErrorMessage="1">
          <x14:formula1>
            <xm:f>lista!J3:J6</xm:f>
          </x14:formula1>
          <xm:sqref>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O100"/>
  <sheetViews>
    <sheetView showGridLines="0" view="pageBreakPreview" topLeftCell="A40" zoomScaleNormal="100" zoomScaleSheetLayoutView="100" workbookViewId="0">
      <selection activeCell="AO79" sqref="AO79"/>
    </sheetView>
  </sheetViews>
  <sheetFormatPr defaultColWidth="3.28515625" defaultRowHeight="16.5" customHeight="1"/>
  <cols>
    <col min="1" max="1" width="1.140625" style="2" customWidth="1"/>
    <col min="2" max="29" width="3.28515625" style="2" customWidth="1"/>
    <col min="30" max="31" width="3" style="2" hidden="1" customWidth="1"/>
    <col min="32" max="39" width="4.7109375" style="2" hidden="1" customWidth="1"/>
    <col min="40" max="40" width="1.28515625" style="2" customWidth="1"/>
    <col min="41" max="41" width="16.7109375" style="2" customWidth="1"/>
    <col min="42" max="16384" width="3.28515625" style="2"/>
  </cols>
  <sheetData>
    <row r="1" spans="1:41" ht="6" customHeight="1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3"/>
    </row>
    <row r="2" spans="1:41" ht="16.5" customHeight="1">
      <c r="A2" s="154"/>
      <c r="B2" s="791" t="s">
        <v>163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3"/>
      <c r="AD2" s="3"/>
      <c r="AE2" s="3"/>
      <c r="AF2" s="3"/>
      <c r="AG2" s="3"/>
      <c r="AH2" s="3"/>
      <c r="AI2" s="3"/>
      <c r="AJ2" s="3"/>
      <c r="AK2" s="3"/>
      <c r="AL2" s="3"/>
      <c r="AM2" s="3"/>
      <c r="AN2" s="155"/>
    </row>
    <row r="3" spans="1:41" ht="4.5" customHeight="1">
      <c r="A3" s="15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3"/>
      <c r="AE3" s="3"/>
      <c r="AF3" s="3"/>
      <c r="AG3" s="3"/>
      <c r="AH3" s="3"/>
      <c r="AI3" s="3"/>
      <c r="AJ3" s="3"/>
      <c r="AK3" s="3"/>
      <c r="AL3" s="3"/>
      <c r="AM3" s="3"/>
      <c r="AN3" s="155"/>
    </row>
    <row r="4" spans="1:41" s="5" customFormat="1" ht="12.75" customHeight="1">
      <c r="A4" s="156"/>
      <c r="B4" s="771" t="s">
        <v>102</v>
      </c>
      <c r="C4" s="771"/>
      <c r="D4" s="771"/>
      <c r="E4" s="771"/>
      <c r="F4" s="771"/>
      <c r="G4" s="771"/>
      <c r="H4" s="771" t="s">
        <v>103</v>
      </c>
      <c r="I4" s="771"/>
      <c r="J4" s="771" t="s">
        <v>104</v>
      </c>
      <c r="K4" s="771"/>
      <c r="L4" s="771"/>
      <c r="M4" s="771"/>
      <c r="N4" s="771"/>
      <c r="O4" s="771" t="s">
        <v>105</v>
      </c>
      <c r="P4" s="771"/>
      <c r="Q4" s="771"/>
      <c r="R4" s="771"/>
      <c r="S4" s="771"/>
      <c r="T4" s="771" t="s">
        <v>106</v>
      </c>
      <c r="U4" s="771"/>
      <c r="V4" s="771"/>
      <c r="W4" s="771"/>
      <c r="X4" s="771"/>
      <c r="Y4" s="771" t="s">
        <v>107</v>
      </c>
      <c r="Z4" s="771"/>
      <c r="AA4" s="771"/>
      <c r="AB4" s="771"/>
      <c r="AC4" s="771"/>
      <c r="AD4" s="4"/>
      <c r="AE4" s="4"/>
      <c r="AF4" s="4"/>
      <c r="AG4" s="4"/>
      <c r="AH4" s="4"/>
      <c r="AI4" s="4"/>
      <c r="AJ4" s="4"/>
      <c r="AK4" s="4"/>
      <c r="AL4" s="4"/>
      <c r="AM4" s="4"/>
      <c r="AN4" s="157"/>
    </row>
    <row r="5" spans="1:41" ht="12.75" customHeight="1">
      <c r="A5" s="154"/>
      <c r="B5" s="772" t="s">
        <v>109</v>
      </c>
      <c r="C5" s="773"/>
      <c r="D5" s="773"/>
      <c r="E5" s="773"/>
      <c r="F5" s="773"/>
      <c r="G5" s="774"/>
      <c r="H5" s="736">
        <v>1</v>
      </c>
      <c r="I5" s="736"/>
      <c r="J5" s="780" t="s">
        <v>376</v>
      </c>
      <c r="K5" s="736"/>
      <c r="L5" s="736"/>
      <c r="M5" s="736"/>
      <c r="N5" s="736"/>
      <c r="O5" s="781" t="s">
        <v>949</v>
      </c>
      <c r="P5" s="736"/>
      <c r="Q5" s="736"/>
      <c r="R5" s="736"/>
      <c r="S5" s="736"/>
      <c r="T5" s="780" t="s">
        <v>376</v>
      </c>
      <c r="U5" s="736"/>
      <c r="V5" s="736"/>
      <c r="W5" s="736"/>
      <c r="X5" s="736"/>
      <c r="Y5" s="741" t="s">
        <v>950</v>
      </c>
      <c r="Z5" s="742"/>
      <c r="AA5" s="742"/>
      <c r="AB5" s="742"/>
      <c r="AC5" s="743"/>
      <c r="AD5" s="3"/>
      <c r="AE5" s="3"/>
      <c r="AF5" s="3"/>
      <c r="AG5" s="3"/>
      <c r="AH5" s="3"/>
      <c r="AI5" s="3"/>
      <c r="AJ5" s="3"/>
      <c r="AK5" s="3"/>
      <c r="AL5" s="3"/>
      <c r="AM5" s="3"/>
      <c r="AN5" s="155"/>
    </row>
    <row r="6" spans="1:41" ht="12.75" customHeight="1">
      <c r="A6" s="154"/>
      <c r="B6" s="768" t="s">
        <v>110</v>
      </c>
      <c r="C6" s="769"/>
      <c r="D6" s="769"/>
      <c r="E6" s="769"/>
      <c r="F6" s="769"/>
      <c r="G6" s="770"/>
      <c r="H6" s="737"/>
      <c r="I6" s="738"/>
      <c r="J6" s="737"/>
      <c r="K6" s="739"/>
      <c r="L6" s="739"/>
      <c r="M6" s="739"/>
      <c r="N6" s="738"/>
      <c r="O6" s="737"/>
      <c r="P6" s="739"/>
      <c r="Q6" s="739"/>
      <c r="R6" s="739"/>
      <c r="S6" s="738"/>
      <c r="T6" s="737"/>
      <c r="U6" s="739"/>
      <c r="V6" s="739"/>
      <c r="W6" s="739"/>
      <c r="X6" s="738"/>
      <c r="Y6" s="737"/>
      <c r="Z6" s="739"/>
      <c r="AA6" s="739"/>
      <c r="AB6" s="739"/>
      <c r="AC6" s="738"/>
      <c r="AD6" s="3"/>
      <c r="AE6" s="3"/>
      <c r="AF6" s="3"/>
      <c r="AG6" s="3"/>
      <c r="AH6" s="3"/>
      <c r="AI6" s="3"/>
      <c r="AJ6" s="3"/>
      <c r="AK6" s="3"/>
      <c r="AL6" s="3"/>
      <c r="AM6" s="3"/>
      <c r="AN6" s="155"/>
    </row>
    <row r="7" spans="1:41" ht="12.75" customHeight="1">
      <c r="A7" s="154"/>
      <c r="B7" s="768" t="s">
        <v>113</v>
      </c>
      <c r="C7" s="769"/>
      <c r="D7" s="769"/>
      <c r="E7" s="769"/>
      <c r="F7" s="769"/>
      <c r="G7" s="770"/>
      <c r="H7" s="737"/>
      <c r="I7" s="738"/>
      <c r="J7" s="737"/>
      <c r="K7" s="739"/>
      <c r="L7" s="739"/>
      <c r="M7" s="739"/>
      <c r="N7" s="738"/>
      <c r="O7" s="737"/>
      <c r="P7" s="739"/>
      <c r="Q7" s="739"/>
      <c r="R7" s="739"/>
      <c r="S7" s="738"/>
      <c r="T7" s="737"/>
      <c r="U7" s="739"/>
      <c r="V7" s="739"/>
      <c r="W7" s="739"/>
      <c r="X7" s="738"/>
      <c r="Y7" s="737"/>
      <c r="Z7" s="739"/>
      <c r="AA7" s="739"/>
      <c r="AB7" s="739"/>
      <c r="AC7" s="738"/>
      <c r="AD7" s="3"/>
      <c r="AE7" s="3"/>
      <c r="AF7" s="3"/>
      <c r="AG7" s="3"/>
      <c r="AH7" s="3"/>
      <c r="AI7" s="3"/>
      <c r="AJ7" s="3"/>
      <c r="AK7" s="3"/>
      <c r="AL7" s="3"/>
      <c r="AM7" s="3"/>
      <c r="AN7" s="155"/>
      <c r="AO7" s="381" t="s">
        <v>672</v>
      </c>
    </row>
    <row r="8" spans="1:41" ht="12.75" customHeight="1">
      <c r="A8" s="154"/>
      <c r="B8" s="768" t="s">
        <v>112</v>
      </c>
      <c r="C8" s="769"/>
      <c r="D8" s="769"/>
      <c r="E8" s="769"/>
      <c r="F8" s="769"/>
      <c r="G8" s="770"/>
      <c r="H8" s="737"/>
      <c r="I8" s="738"/>
      <c r="J8" s="737"/>
      <c r="K8" s="739"/>
      <c r="L8" s="739"/>
      <c r="M8" s="739"/>
      <c r="N8" s="738"/>
      <c r="O8" s="737"/>
      <c r="P8" s="739"/>
      <c r="Q8" s="739"/>
      <c r="R8" s="739"/>
      <c r="S8" s="738"/>
      <c r="T8" s="737"/>
      <c r="U8" s="739"/>
      <c r="V8" s="739"/>
      <c r="W8" s="739"/>
      <c r="X8" s="738"/>
      <c r="Y8" s="737"/>
      <c r="Z8" s="739"/>
      <c r="AA8" s="739"/>
      <c r="AB8" s="739"/>
      <c r="AC8" s="738"/>
      <c r="AD8" s="3"/>
      <c r="AE8" s="3"/>
      <c r="AF8" s="3"/>
      <c r="AG8" s="3"/>
      <c r="AH8" s="3"/>
      <c r="AI8" s="3"/>
      <c r="AJ8" s="3"/>
      <c r="AK8" s="3"/>
      <c r="AL8" s="3"/>
      <c r="AM8" s="3"/>
      <c r="AN8" s="155"/>
    </row>
    <row r="9" spans="1:41" ht="12.75" customHeight="1">
      <c r="A9" s="154"/>
      <c r="B9" s="768" t="s">
        <v>111</v>
      </c>
      <c r="C9" s="769"/>
      <c r="D9" s="769"/>
      <c r="E9" s="769"/>
      <c r="F9" s="769"/>
      <c r="G9" s="770"/>
      <c r="H9" s="737">
        <v>1</v>
      </c>
      <c r="I9" s="738"/>
      <c r="J9" s="748" t="s">
        <v>949</v>
      </c>
      <c r="K9" s="739"/>
      <c r="L9" s="739"/>
      <c r="M9" s="739"/>
      <c r="N9" s="738"/>
      <c r="O9" s="748" t="s">
        <v>949</v>
      </c>
      <c r="P9" s="739"/>
      <c r="Q9" s="739"/>
      <c r="R9" s="739"/>
      <c r="S9" s="738"/>
      <c r="T9" s="748" t="s">
        <v>376</v>
      </c>
      <c r="U9" s="739"/>
      <c r="V9" s="739"/>
      <c r="W9" s="739"/>
      <c r="X9" s="738"/>
      <c r="Y9" s="748" t="s">
        <v>950</v>
      </c>
      <c r="Z9" s="739"/>
      <c r="AA9" s="739"/>
      <c r="AB9" s="739"/>
      <c r="AC9" s="738"/>
      <c r="AD9" s="3"/>
      <c r="AE9" s="3"/>
      <c r="AF9" s="3"/>
      <c r="AG9" s="3"/>
      <c r="AH9" s="3"/>
      <c r="AI9" s="3"/>
      <c r="AJ9" s="3"/>
      <c r="AK9" s="3"/>
      <c r="AL9" s="3"/>
      <c r="AM9" s="3"/>
      <c r="AN9" s="155"/>
    </row>
    <row r="10" spans="1:41" ht="12.75" customHeight="1">
      <c r="A10" s="154"/>
      <c r="B10" s="777" t="s">
        <v>20</v>
      </c>
      <c r="C10" s="778"/>
      <c r="D10" s="778"/>
      <c r="E10" s="778"/>
      <c r="F10" s="778"/>
      <c r="G10" s="779"/>
      <c r="H10" s="775">
        <v>1</v>
      </c>
      <c r="I10" s="776"/>
      <c r="J10" s="748" t="s">
        <v>376</v>
      </c>
      <c r="K10" s="739"/>
      <c r="L10" s="739"/>
      <c r="M10" s="739"/>
      <c r="N10" s="738"/>
      <c r="O10" s="748" t="s">
        <v>949</v>
      </c>
      <c r="P10" s="739"/>
      <c r="Q10" s="739"/>
      <c r="R10" s="739"/>
      <c r="S10" s="738"/>
      <c r="T10" s="748" t="s">
        <v>376</v>
      </c>
      <c r="U10" s="739"/>
      <c r="V10" s="739"/>
      <c r="W10" s="739"/>
      <c r="X10" s="738"/>
      <c r="Y10" s="748" t="s">
        <v>950</v>
      </c>
      <c r="Z10" s="739"/>
      <c r="AA10" s="739"/>
      <c r="AB10" s="739"/>
      <c r="AC10" s="73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55"/>
      <c r="AO10" s="381" t="s">
        <v>673</v>
      </c>
    </row>
    <row r="11" spans="1:41" ht="12.75" customHeight="1">
      <c r="A11" s="154"/>
      <c r="B11" s="768" t="s">
        <v>114</v>
      </c>
      <c r="C11" s="769"/>
      <c r="D11" s="769"/>
      <c r="E11" s="769"/>
      <c r="F11" s="769"/>
      <c r="G11" s="770"/>
      <c r="H11" s="775">
        <v>1</v>
      </c>
      <c r="I11" s="776"/>
      <c r="J11" s="748" t="s">
        <v>949</v>
      </c>
      <c r="K11" s="739"/>
      <c r="L11" s="739"/>
      <c r="M11" s="739"/>
      <c r="N11" s="738"/>
      <c r="O11" s="748" t="s">
        <v>949</v>
      </c>
      <c r="P11" s="739"/>
      <c r="Q11" s="739"/>
      <c r="R11" s="739"/>
      <c r="S11" s="738"/>
      <c r="T11" s="748" t="s">
        <v>376</v>
      </c>
      <c r="U11" s="739"/>
      <c r="V11" s="739"/>
      <c r="W11" s="739"/>
      <c r="X11" s="738"/>
      <c r="Y11" s="748" t="s">
        <v>950</v>
      </c>
      <c r="Z11" s="739"/>
      <c r="AA11" s="739"/>
      <c r="AB11" s="739"/>
      <c r="AC11" s="73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55"/>
    </row>
    <row r="12" spans="1:41" ht="12.75" customHeight="1">
      <c r="A12" s="154"/>
      <c r="B12" s="777" t="s">
        <v>115</v>
      </c>
      <c r="C12" s="778"/>
      <c r="D12" s="778"/>
      <c r="E12" s="778"/>
      <c r="F12" s="778"/>
      <c r="G12" s="779"/>
      <c r="H12" s="767">
        <v>1</v>
      </c>
      <c r="I12" s="767"/>
      <c r="J12" s="748" t="s">
        <v>376</v>
      </c>
      <c r="K12" s="739"/>
      <c r="L12" s="739"/>
      <c r="M12" s="739"/>
      <c r="N12" s="738"/>
      <c r="O12" s="748" t="s">
        <v>949</v>
      </c>
      <c r="P12" s="739"/>
      <c r="Q12" s="739"/>
      <c r="R12" s="739"/>
      <c r="S12" s="738"/>
      <c r="T12" s="748" t="s">
        <v>376</v>
      </c>
      <c r="U12" s="739"/>
      <c r="V12" s="739"/>
      <c r="W12" s="739"/>
      <c r="X12" s="738"/>
      <c r="Y12" s="748" t="s">
        <v>950</v>
      </c>
      <c r="Z12" s="739"/>
      <c r="AA12" s="739"/>
      <c r="AB12" s="739"/>
      <c r="AC12" s="738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55"/>
      <c r="AO12" s="381" t="s">
        <v>673</v>
      </c>
    </row>
    <row r="13" spans="1:41" ht="12.75" customHeight="1">
      <c r="A13" s="154"/>
      <c r="B13" s="777" t="s">
        <v>21</v>
      </c>
      <c r="C13" s="778"/>
      <c r="D13" s="778"/>
      <c r="E13" s="778"/>
      <c r="F13" s="778"/>
      <c r="G13" s="779"/>
      <c r="H13" s="767">
        <v>1</v>
      </c>
      <c r="I13" s="767"/>
      <c r="J13" s="748" t="s">
        <v>949</v>
      </c>
      <c r="K13" s="739"/>
      <c r="L13" s="739"/>
      <c r="M13" s="739"/>
      <c r="N13" s="738"/>
      <c r="O13" s="748" t="s">
        <v>949</v>
      </c>
      <c r="P13" s="739"/>
      <c r="Q13" s="739"/>
      <c r="R13" s="739"/>
      <c r="S13" s="738"/>
      <c r="T13" s="748" t="s">
        <v>376</v>
      </c>
      <c r="U13" s="739"/>
      <c r="V13" s="739"/>
      <c r="W13" s="739"/>
      <c r="X13" s="738"/>
      <c r="Y13" s="748" t="s">
        <v>950</v>
      </c>
      <c r="Z13" s="739"/>
      <c r="AA13" s="739"/>
      <c r="AB13" s="739"/>
      <c r="AC13" s="738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155"/>
      <c r="AO13" s="381" t="s">
        <v>673</v>
      </c>
    </row>
    <row r="14" spans="1:41" ht="12.75" customHeight="1">
      <c r="A14" s="154"/>
      <c r="B14" s="768" t="s">
        <v>17</v>
      </c>
      <c r="C14" s="769"/>
      <c r="D14" s="769"/>
      <c r="E14" s="769"/>
      <c r="F14" s="769"/>
      <c r="G14" s="770"/>
      <c r="H14" s="736">
        <v>1</v>
      </c>
      <c r="I14" s="736"/>
      <c r="J14" s="748" t="s">
        <v>949</v>
      </c>
      <c r="K14" s="739"/>
      <c r="L14" s="739"/>
      <c r="M14" s="739"/>
      <c r="N14" s="738"/>
      <c r="O14" s="748" t="s">
        <v>949</v>
      </c>
      <c r="P14" s="739"/>
      <c r="Q14" s="739"/>
      <c r="R14" s="739"/>
      <c r="S14" s="738"/>
      <c r="T14" s="748" t="s">
        <v>376</v>
      </c>
      <c r="U14" s="739"/>
      <c r="V14" s="739"/>
      <c r="W14" s="739"/>
      <c r="X14" s="738"/>
      <c r="Y14" s="748" t="s">
        <v>950</v>
      </c>
      <c r="Z14" s="739"/>
      <c r="AA14" s="739"/>
      <c r="AB14" s="739"/>
      <c r="AC14" s="738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55"/>
    </row>
    <row r="15" spans="1:41" ht="12.75" customHeight="1">
      <c r="A15" s="154"/>
      <c r="B15" s="768" t="s">
        <v>181</v>
      </c>
      <c r="C15" s="769"/>
      <c r="D15" s="769"/>
      <c r="E15" s="769"/>
      <c r="F15" s="769"/>
      <c r="G15" s="770"/>
      <c r="H15" s="736">
        <v>1</v>
      </c>
      <c r="I15" s="736"/>
      <c r="J15" s="744" t="s">
        <v>951</v>
      </c>
      <c r="K15" s="736"/>
      <c r="L15" s="736"/>
      <c r="M15" s="736"/>
      <c r="N15" s="736"/>
      <c r="O15" s="748" t="s">
        <v>949</v>
      </c>
      <c r="P15" s="739"/>
      <c r="Q15" s="739"/>
      <c r="R15" s="739"/>
      <c r="S15" s="738"/>
      <c r="T15" s="748" t="s">
        <v>376</v>
      </c>
      <c r="U15" s="739"/>
      <c r="V15" s="739"/>
      <c r="W15" s="739"/>
      <c r="X15" s="738"/>
      <c r="Y15" s="741" t="s">
        <v>952</v>
      </c>
      <c r="Z15" s="742"/>
      <c r="AA15" s="742"/>
      <c r="AB15" s="742"/>
      <c r="AC15" s="74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55"/>
    </row>
    <row r="16" spans="1:41" ht="12.75" customHeight="1">
      <c r="A16" s="154"/>
      <c r="B16" s="768" t="s">
        <v>116</v>
      </c>
      <c r="C16" s="769"/>
      <c r="D16" s="769"/>
      <c r="E16" s="769"/>
      <c r="F16" s="769"/>
      <c r="G16" s="770"/>
      <c r="H16" s="737"/>
      <c r="I16" s="738"/>
      <c r="J16" s="737"/>
      <c r="K16" s="739"/>
      <c r="L16" s="739"/>
      <c r="M16" s="739"/>
      <c r="N16" s="738"/>
      <c r="O16" s="737"/>
      <c r="P16" s="739"/>
      <c r="Q16" s="739"/>
      <c r="R16" s="739"/>
      <c r="S16" s="738"/>
      <c r="T16" s="737"/>
      <c r="U16" s="739"/>
      <c r="V16" s="739"/>
      <c r="W16" s="739"/>
      <c r="X16" s="738"/>
      <c r="Y16" s="737"/>
      <c r="Z16" s="739"/>
      <c r="AA16" s="739"/>
      <c r="AB16" s="739"/>
      <c r="AC16" s="738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55"/>
    </row>
    <row r="17" spans="1:41" ht="12.75" customHeight="1">
      <c r="A17" s="154"/>
      <c r="B17" s="768" t="s">
        <v>117</v>
      </c>
      <c r="C17" s="769"/>
      <c r="D17" s="769"/>
      <c r="E17" s="769"/>
      <c r="F17" s="769"/>
      <c r="G17" s="770"/>
      <c r="H17" s="737"/>
      <c r="I17" s="738"/>
      <c r="J17" s="737"/>
      <c r="K17" s="739"/>
      <c r="L17" s="739"/>
      <c r="M17" s="739"/>
      <c r="N17" s="738"/>
      <c r="O17" s="737"/>
      <c r="P17" s="739"/>
      <c r="Q17" s="739"/>
      <c r="R17" s="739"/>
      <c r="S17" s="738"/>
      <c r="T17" s="737"/>
      <c r="U17" s="739"/>
      <c r="V17" s="739"/>
      <c r="W17" s="739"/>
      <c r="X17" s="738"/>
      <c r="Y17" s="737"/>
      <c r="Z17" s="739"/>
      <c r="AA17" s="739"/>
      <c r="AB17" s="739"/>
      <c r="AC17" s="73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55"/>
    </row>
    <row r="18" spans="1:41" ht="12.75" customHeight="1">
      <c r="A18" s="154"/>
      <c r="B18" s="768" t="s">
        <v>118</v>
      </c>
      <c r="C18" s="769"/>
      <c r="D18" s="769"/>
      <c r="E18" s="769"/>
      <c r="F18" s="769"/>
      <c r="G18" s="770"/>
      <c r="H18" s="737"/>
      <c r="I18" s="738"/>
      <c r="J18" s="737"/>
      <c r="K18" s="739"/>
      <c r="L18" s="739"/>
      <c r="M18" s="739"/>
      <c r="N18" s="738"/>
      <c r="O18" s="737"/>
      <c r="P18" s="739"/>
      <c r="Q18" s="739"/>
      <c r="R18" s="739"/>
      <c r="S18" s="738"/>
      <c r="T18" s="737"/>
      <c r="U18" s="739"/>
      <c r="V18" s="739"/>
      <c r="W18" s="739"/>
      <c r="X18" s="738"/>
      <c r="Y18" s="737"/>
      <c r="Z18" s="739"/>
      <c r="AA18" s="739"/>
      <c r="AB18" s="739"/>
      <c r="AC18" s="738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155"/>
    </row>
    <row r="19" spans="1:41" ht="12.75" customHeight="1">
      <c r="A19" s="154"/>
      <c r="B19" s="768" t="s">
        <v>79</v>
      </c>
      <c r="C19" s="769"/>
      <c r="D19" s="769"/>
      <c r="E19" s="769"/>
      <c r="F19" s="769"/>
      <c r="G19" s="770"/>
      <c r="H19" s="737">
        <v>1</v>
      </c>
      <c r="I19" s="738"/>
      <c r="J19" s="748" t="s">
        <v>953</v>
      </c>
      <c r="K19" s="739"/>
      <c r="L19" s="739"/>
      <c r="M19" s="739"/>
      <c r="N19" s="738"/>
      <c r="O19" s="748" t="s">
        <v>954</v>
      </c>
      <c r="P19" s="739"/>
      <c r="Q19" s="739"/>
      <c r="R19" s="739"/>
      <c r="S19" s="738"/>
      <c r="T19" s="748" t="s">
        <v>955</v>
      </c>
      <c r="U19" s="739"/>
      <c r="V19" s="739"/>
      <c r="W19" s="739"/>
      <c r="X19" s="738"/>
      <c r="Y19" s="748" t="s">
        <v>952</v>
      </c>
      <c r="Z19" s="739"/>
      <c r="AA19" s="739"/>
      <c r="AB19" s="739"/>
      <c r="AC19" s="738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55"/>
    </row>
    <row r="20" spans="1:41" ht="12.75" customHeight="1">
      <c r="A20" s="154"/>
      <c r="B20" s="768" t="s">
        <v>119</v>
      </c>
      <c r="C20" s="769"/>
      <c r="D20" s="769"/>
      <c r="E20" s="769"/>
      <c r="F20" s="769"/>
      <c r="G20" s="770"/>
      <c r="H20" s="737"/>
      <c r="I20" s="738"/>
      <c r="J20" s="737"/>
      <c r="K20" s="739"/>
      <c r="L20" s="739"/>
      <c r="M20" s="739"/>
      <c r="N20" s="738"/>
      <c r="O20" s="737"/>
      <c r="P20" s="739"/>
      <c r="Q20" s="739"/>
      <c r="R20" s="739"/>
      <c r="S20" s="738"/>
      <c r="T20" s="737"/>
      <c r="U20" s="739"/>
      <c r="V20" s="739"/>
      <c r="W20" s="739"/>
      <c r="X20" s="738"/>
      <c r="Y20" s="737"/>
      <c r="Z20" s="739"/>
      <c r="AA20" s="739"/>
      <c r="AB20" s="739"/>
      <c r="AC20" s="738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55"/>
    </row>
    <row r="21" spans="1:41" ht="12.75" customHeight="1">
      <c r="A21" s="154"/>
      <c r="B21" s="768" t="s">
        <v>202</v>
      </c>
      <c r="C21" s="769"/>
      <c r="D21" s="769"/>
      <c r="E21" s="769"/>
      <c r="F21" s="769"/>
      <c r="G21" s="770"/>
      <c r="H21" s="736"/>
      <c r="I21" s="736"/>
      <c r="J21" s="744"/>
      <c r="K21" s="736"/>
      <c r="L21" s="736"/>
      <c r="M21" s="736"/>
      <c r="N21" s="736"/>
      <c r="O21" s="736"/>
      <c r="P21" s="736"/>
      <c r="Q21" s="736"/>
      <c r="R21" s="736"/>
      <c r="S21" s="736"/>
      <c r="T21" s="744"/>
      <c r="U21" s="736"/>
      <c r="V21" s="736"/>
      <c r="W21" s="736"/>
      <c r="X21" s="736"/>
      <c r="Y21" s="741"/>
      <c r="Z21" s="742"/>
      <c r="AA21" s="742"/>
      <c r="AB21" s="742"/>
      <c r="AC21" s="74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155"/>
    </row>
    <row r="22" spans="1:41" ht="12.75" customHeight="1">
      <c r="A22" s="154"/>
      <c r="B22" s="768" t="s">
        <v>120</v>
      </c>
      <c r="C22" s="769"/>
      <c r="D22" s="769"/>
      <c r="E22" s="769"/>
      <c r="F22" s="769"/>
      <c r="G22" s="770"/>
      <c r="H22" s="737"/>
      <c r="I22" s="738"/>
      <c r="J22" s="737"/>
      <c r="K22" s="739"/>
      <c r="L22" s="739"/>
      <c r="M22" s="739"/>
      <c r="N22" s="738"/>
      <c r="O22" s="737"/>
      <c r="P22" s="739"/>
      <c r="Q22" s="739"/>
      <c r="R22" s="739"/>
      <c r="S22" s="738"/>
      <c r="T22" s="737"/>
      <c r="U22" s="739"/>
      <c r="V22" s="739"/>
      <c r="W22" s="739"/>
      <c r="X22" s="738"/>
      <c r="Y22" s="737"/>
      <c r="Z22" s="739"/>
      <c r="AA22" s="739"/>
      <c r="AB22" s="739"/>
      <c r="AC22" s="73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155"/>
    </row>
    <row r="23" spans="1:41" ht="12.75" customHeight="1">
      <c r="A23" s="154"/>
      <c r="B23" s="768"/>
      <c r="C23" s="769"/>
      <c r="D23" s="769"/>
      <c r="E23" s="769"/>
      <c r="F23" s="769"/>
      <c r="G23" s="770"/>
      <c r="H23" s="737"/>
      <c r="I23" s="738"/>
      <c r="J23" s="376"/>
      <c r="K23" s="387"/>
      <c r="L23" s="387"/>
      <c r="M23" s="387"/>
      <c r="N23" s="377"/>
      <c r="O23" s="376"/>
      <c r="P23" s="387"/>
      <c r="Q23" s="387"/>
      <c r="R23" s="387"/>
      <c r="S23" s="377"/>
      <c r="T23" s="376"/>
      <c r="U23" s="387"/>
      <c r="V23" s="387"/>
      <c r="W23" s="387"/>
      <c r="X23" s="377"/>
      <c r="Y23" s="376"/>
      <c r="Z23" s="387"/>
      <c r="AA23" s="387"/>
      <c r="AB23" s="387"/>
      <c r="AC23" s="37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155"/>
    </row>
    <row r="24" spans="1:41" ht="12.75" customHeight="1">
      <c r="A24" s="154"/>
      <c r="B24" s="768"/>
      <c r="C24" s="769"/>
      <c r="D24" s="769"/>
      <c r="E24" s="769"/>
      <c r="F24" s="769"/>
      <c r="G24" s="770"/>
      <c r="H24" s="737"/>
      <c r="I24" s="738"/>
      <c r="J24" s="376"/>
      <c r="K24" s="387"/>
      <c r="L24" s="387"/>
      <c r="M24" s="387"/>
      <c r="N24" s="377"/>
      <c r="O24" s="376"/>
      <c r="P24" s="387"/>
      <c r="Q24" s="387"/>
      <c r="R24" s="387"/>
      <c r="S24" s="377"/>
      <c r="T24" s="376"/>
      <c r="U24" s="387"/>
      <c r="V24" s="387"/>
      <c r="W24" s="387"/>
      <c r="X24" s="377"/>
      <c r="Y24" s="376"/>
      <c r="Z24" s="387"/>
      <c r="AA24" s="387"/>
      <c r="AB24" s="387"/>
      <c r="AC24" s="37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155"/>
    </row>
    <row r="25" spans="1:41" ht="12.75" customHeight="1">
      <c r="A25" s="154"/>
      <c r="B25" s="768"/>
      <c r="C25" s="769"/>
      <c r="D25" s="769"/>
      <c r="E25" s="769"/>
      <c r="F25" s="769"/>
      <c r="G25" s="770"/>
      <c r="H25" s="737"/>
      <c r="I25" s="738"/>
      <c r="J25" s="376"/>
      <c r="K25" s="387"/>
      <c r="L25" s="387"/>
      <c r="M25" s="387"/>
      <c r="N25" s="377"/>
      <c r="O25" s="376"/>
      <c r="P25" s="387"/>
      <c r="Q25" s="387"/>
      <c r="R25" s="387"/>
      <c r="S25" s="377"/>
      <c r="T25" s="376"/>
      <c r="U25" s="387"/>
      <c r="V25" s="387"/>
      <c r="W25" s="387"/>
      <c r="X25" s="377"/>
      <c r="Y25" s="376"/>
      <c r="Z25" s="387"/>
      <c r="AA25" s="387"/>
      <c r="AB25" s="387"/>
      <c r="AC25" s="37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155"/>
    </row>
    <row r="26" spans="1:41" ht="12.75" customHeight="1">
      <c r="A26" s="154"/>
      <c r="B26" s="768"/>
      <c r="C26" s="769"/>
      <c r="D26" s="769"/>
      <c r="E26" s="769"/>
      <c r="F26" s="769"/>
      <c r="G26" s="770"/>
      <c r="H26" s="737"/>
      <c r="I26" s="738"/>
      <c r="J26" s="376"/>
      <c r="K26" s="387"/>
      <c r="L26" s="387"/>
      <c r="M26" s="387"/>
      <c r="N26" s="377"/>
      <c r="O26" s="376"/>
      <c r="P26" s="387"/>
      <c r="Q26" s="387"/>
      <c r="R26" s="387"/>
      <c r="S26" s="377"/>
      <c r="T26" s="376"/>
      <c r="U26" s="387"/>
      <c r="V26" s="387"/>
      <c r="W26" s="387"/>
      <c r="X26" s="377"/>
      <c r="Y26" s="376"/>
      <c r="Z26" s="387"/>
      <c r="AA26" s="387"/>
      <c r="AB26" s="387"/>
      <c r="AC26" s="37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155"/>
    </row>
    <row r="27" spans="1:41" ht="12.75" customHeight="1">
      <c r="A27" s="154"/>
      <c r="B27" s="768"/>
      <c r="C27" s="769"/>
      <c r="D27" s="769"/>
      <c r="E27" s="769"/>
      <c r="F27" s="769"/>
      <c r="G27" s="770"/>
      <c r="H27" s="737"/>
      <c r="I27" s="738"/>
      <c r="J27" s="376"/>
      <c r="K27" s="387"/>
      <c r="L27" s="387"/>
      <c r="M27" s="387"/>
      <c r="N27" s="377"/>
      <c r="O27" s="376"/>
      <c r="P27" s="387"/>
      <c r="Q27" s="387"/>
      <c r="R27" s="387"/>
      <c r="S27" s="377"/>
      <c r="T27" s="376"/>
      <c r="U27" s="387"/>
      <c r="V27" s="387"/>
      <c r="W27" s="387"/>
      <c r="X27" s="377"/>
      <c r="Y27" s="376"/>
      <c r="Z27" s="387"/>
      <c r="AA27" s="387"/>
      <c r="AB27" s="387"/>
      <c r="AC27" s="377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155"/>
    </row>
    <row r="28" spans="1:41" ht="12.75" customHeight="1">
      <c r="A28" s="154"/>
      <c r="B28" s="768"/>
      <c r="C28" s="769"/>
      <c r="D28" s="769"/>
      <c r="E28" s="769"/>
      <c r="F28" s="769"/>
      <c r="G28" s="770"/>
      <c r="H28" s="737"/>
      <c r="I28" s="738"/>
      <c r="J28" s="376"/>
      <c r="K28" s="387"/>
      <c r="L28" s="387"/>
      <c r="M28" s="387"/>
      <c r="N28" s="377"/>
      <c r="O28" s="376"/>
      <c r="P28" s="387"/>
      <c r="Q28" s="387"/>
      <c r="R28" s="387"/>
      <c r="S28" s="377"/>
      <c r="T28" s="376"/>
      <c r="U28" s="387"/>
      <c r="V28" s="387"/>
      <c r="W28" s="387"/>
      <c r="X28" s="377"/>
      <c r="Y28" s="376"/>
      <c r="Z28" s="387"/>
      <c r="AA28" s="387"/>
      <c r="AB28" s="387"/>
      <c r="AC28" s="37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155"/>
    </row>
    <row r="29" spans="1:41" ht="12.75" customHeight="1">
      <c r="A29" s="154"/>
      <c r="B29" s="782" t="s">
        <v>658</v>
      </c>
      <c r="C29" s="783"/>
      <c r="D29" s="783"/>
      <c r="E29" s="783"/>
      <c r="F29" s="783"/>
      <c r="G29" s="784"/>
      <c r="H29" s="789">
        <v>1</v>
      </c>
      <c r="I29" s="789"/>
      <c r="J29" s="737"/>
      <c r="K29" s="739"/>
      <c r="L29" s="739"/>
      <c r="M29" s="739"/>
      <c r="N29" s="738"/>
      <c r="O29" s="737"/>
      <c r="P29" s="739"/>
      <c r="Q29" s="739"/>
      <c r="R29" s="739"/>
      <c r="S29" s="738"/>
      <c r="T29" s="737"/>
      <c r="U29" s="739"/>
      <c r="V29" s="739"/>
      <c r="W29" s="739"/>
      <c r="X29" s="738"/>
      <c r="Y29" s="737"/>
      <c r="Z29" s="739"/>
      <c r="AA29" s="739"/>
      <c r="AB29" s="739"/>
      <c r="AC29" s="738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155"/>
      <c r="AO29" s="381" t="s">
        <v>673</v>
      </c>
    </row>
    <row r="30" spans="1:41" ht="12.75" customHeight="1">
      <c r="A30" s="154"/>
      <c r="B30" s="782" t="s">
        <v>659</v>
      </c>
      <c r="C30" s="783"/>
      <c r="D30" s="783"/>
      <c r="E30" s="783"/>
      <c r="F30" s="783"/>
      <c r="G30" s="784"/>
      <c r="H30" s="789"/>
      <c r="I30" s="789"/>
      <c r="J30" s="744"/>
      <c r="K30" s="736"/>
      <c r="L30" s="736"/>
      <c r="M30" s="736"/>
      <c r="N30" s="736"/>
      <c r="O30" s="744"/>
      <c r="P30" s="736"/>
      <c r="Q30" s="736"/>
      <c r="R30" s="736"/>
      <c r="S30" s="736"/>
      <c r="T30" s="744"/>
      <c r="U30" s="736"/>
      <c r="V30" s="736"/>
      <c r="W30" s="736"/>
      <c r="X30" s="736"/>
      <c r="Y30" s="741"/>
      <c r="Z30" s="742"/>
      <c r="AA30" s="742"/>
      <c r="AB30" s="742"/>
      <c r="AC30" s="74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155"/>
      <c r="AO30" s="381" t="s">
        <v>673</v>
      </c>
    </row>
    <row r="31" spans="1:41" ht="12.75" customHeight="1">
      <c r="A31" s="154"/>
      <c r="B31" s="786" t="s">
        <v>650</v>
      </c>
      <c r="C31" s="787"/>
      <c r="D31" s="787"/>
      <c r="E31" s="787"/>
      <c r="F31" s="787"/>
      <c r="G31" s="787"/>
      <c r="H31" s="787"/>
      <c r="I31" s="788"/>
      <c r="J31" s="752" t="s">
        <v>651</v>
      </c>
      <c r="K31" s="753"/>
      <c r="L31" s="753"/>
      <c r="M31" s="753"/>
      <c r="N31" s="753"/>
      <c r="O31" s="753"/>
      <c r="P31" s="753"/>
      <c r="Q31" s="753"/>
      <c r="R31" s="753"/>
      <c r="S31" s="754"/>
      <c r="T31" s="755" t="s">
        <v>652</v>
      </c>
      <c r="U31" s="756"/>
      <c r="V31" s="756"/>
      <c r="W31" s="756"/>
      <c r="X31" s="757"/>
      <c r="Y31" s="752"/>
      <c r="Z31" s="753"/>
      <c r="AA31" s="753"/>
      <c r="AB31" s="753"/>
      <c r="AC31" s="7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55"/>
      <c r="AO31" s="381" t="s">
        <v>673</v>
      </c>
    </row>
    <row r="32" spans="1:41" ht="12.75" customHeight="1">
      <c r="A32" s="154"/>
      <c r="B32" s="786" t="s">
        <v>315</v>
      </c>
      <c r="C32" s="787"/>
      <c r="D32" s="787"/>
      <c r="E32" s="787"/>
      <c r="F32" s="787"/>
      <c r="G32" s="787"/>
      <c r="H32" s="787"/>
      <c r="I32" s="788"/>
      <c r="J32" s="752" t="s">
        <v>364</v>
      </c>
      <c r="K32" s="753"/>
      <c r="L32" s="753"/>
      <c r="M32" s="753"/>
      <c r="N32" s="753"/>
      <c r="O32" s="753"/>
      <c r="P32" s="753"/>
      <c r="Q32" s="753"/>
      <c r="R32" s="753"/>
      <c r="S32" s="754"/>
      <c r="T32" s="749" t="s">
        <v>653</v>
      </c>
      <c r="U32" s="750"/>
      <c r="V32" s="750"/>
      <c r="W32" s="750"/>
      <c r="X32" s="751"/>
      <c r="Y32" s="752"/>
      <c r="Z32" s="753"/>
      <c r="AA32" s="753"/>
      <c r="AB32" s="753"/>
      <c r="AC32" s="7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55"/>
      <c r="AO32" s="381" t="s">
        <v>673</v>
      </c>
    </row>
    <row r="33" spans="1:40" ht="4.5" customHeight="1">
      <c r="A33" s="154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55"/>
    </row>
    <row r="34" spans="1:40" s="4" customFormat="1" ht="12.75" customHeight="1">
      <c r="A34" s="156"/>
      <c r="B34" s="794" t="s">
        <v>664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795"/>
      <c r="Y34" s="795"/>
      <c r="Z34" s="795"/>
      <c r="AA34" s="795"/>
      <c r="AB34" s="795"/>
      <c r="AC34" s="796"/>
      <c r="AN34" s="157"/>
    </row>
    <row r="35" spans="1:40" s="6" customFormat="1" ht="12.75" customHeight="1">
      <c r="A35" s="158"/>
      <c r="B35" s="785"/>
      <c r="C35" s="785"/>
      <c r="D35" s="785"/>
      <c r="E35" s="785"/>
      <c r="F35" s="740" t="s">
        <v>103</v>
      </c>
      <c r="G35" s="740"/>
      <c r="H35" s="740" t="s">
        <v>370</v>
      </c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97"/>
      <c r="T35" s="740" t="s">
        <v>365</v>
      </c>
      <c r="U35" s="740"/>
      <c r="V35" s="740"/>
      <c r="W35" s="740"/>
      <c r="X35" s="740"/>
      <c r="Y35" s="740"/>
      <c r="Z35" s="740"/>
      <c r="AA35" s="740"/>
      <c r="AB35" s="740"/>
      <c r="AC35" s="740"/>
      <c r="AN35" s="159"/>
    </row>
    <row r="36" spans="1:40" s="3" customFormat="1" ht="12.75" customHeight="1">
      <c r="A36" s="154"/>
      <c r="B36" s="759" t="s">
        <v>173</v>
      </c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45"/>
      <c r="T36" s="764" t="s">
        <v>366</v>
      </c>
      <c r="U36" s="765"/>
      <c r="V36" s="765"/>
      <c r="W36" s="765"/>
      <c r="X36" s="765"/>
      <c r="Y36" s="765"/>
      <c r="Z36" s="765"/>
      <c r="AA36" s="765"/>
      <c r="AB36" s="765"/>
      <c r="AC36" s="766"/>
      <c r="AN36" s="155"/>
    </row>
    <row r="37" spans="1:40" s="3" customFormat="1" ht="12.75" customHeight="1">
      <c r="A37" s="154"/>
      <c r="B37" s="759" t="s">
        <v>174</v>
      </c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45"/>
      <c r="T37" s="763" t="s">
        <v>363</v>
      </c>
      <c r="U37" s="763"/>
      <c r="V37" s="763"/>
      <c r="W37" s="763"/>
      <c r="X37" s="763"/>
      <c r="Y37" s="763"/>
      <c r="Z37" s="763"/>
      <c r="AA37" s="763"/>
      <c r="AB37" s="763"/>
      <c r="AC37" s="763"/>
      <c r="AN37" s="155"/>
    </row>
    <row r="38" spans="1:40" s="3" customFormat="1" ht="12.75" customHeight="1">
      <c r="A38" s="154"/>
      <c r="B38" s="759" t="s">
        <v>175</v>
      </c>
      <c r="C38" s="759"/>
      <c r="D38" s="759"/>
      <c r="E38" s="759"/>
      <c r="F38" s="759"/>
      <c r="G38" s="759"/>
      <c r="H38" s="745" t="s">
        <v>663</v>
      </c>
      <c r="I38" s="746"/>
      <c r="J38" s="746"/>
      <c r="K38" s="746"/>
      <c r="L38" s="746"/>
      <c r="M38" s="746"/>
      <c r="N38" s="746"/>
      <c r="O38" s="747"/>
      <c r="P38" s="745">
        <v>4</v>
      </c>
      <c r="Q38" s="746"/>
      <c r="R38" s="746"/>
      <c r="S38" s="747"/>
      <c r="T38" s="759" t="s">
        <v>364</v>
      </c>
      <c r="U38" s="759"/>
      <c r="V38" s="759"/>
      <c r="W38" s="759"/>
      <c r="X38" s="759"/>
      <c r="Y38" s="759"/>
      <c r="Z38" s="759"/>
      <c r="AA38" s="759"/>
      <c r="AB38" s="759"/>
      <c r="AC38" s="759"/>
      <c r="AN38" s="155"/>
    </row>
    <row r="39" spans="1:40" s="3" customFormat="1" ht="12.75" customHeight="1">
      <c r="A39" s="154"/>
      <c r="B39" s="759" t="s">
        <v>176</v>
      </c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45"/>
      <c r="T39" s="382" t="s">
        <v>660</v>
      </c>
      <c r="U39" s="383"/>
      <c r="V39" s="383"/>
      <c r="W39" s="382"/>
      <c r="X39" s="383"/>
      <c r="Y39" s="745"/>
      <c r="Z39" s="746"/>
      <c r="AA39" s="746"/>
      <c r="AB39" s="746"/>
      <c r="AC39" s="747"/>
      <c r="AN39" s="155"/>
    </row>
    <row r="40" spans="1:40" s="3" customFormat="1" ht="12.75" customHeight="1">
      <c r="A40" s="154"/>
      <c r="B40" s="759" t="s">
        <v>661</v>
      </c>
      <c r="C40" s="759"/>
      <c r="D40" s="759"/>
      <c r="E40" s="759"/>
      <c r="F40" s="745" t="s">
        <v>654</v>
      </c>
      <c r="G40" s="746"/>
      <c r="H40" s="746"/>
      <c r="I40" s="746"/>
      <c r="J40" s="746"/>
      <c r="K40" s="747"/>
      <c r="L40" s="384" t="s">
        <v>662</v>
      </c>
      <c r="M40" s="385"/>
      <c r="N40" s="385"/>
      <c r="O40" s="385"/>
      <c r="P40" s="386"/>
      <c r="Q40" s="379"/>
      <c r="R40" s="379"/>
      <c r="S40" s="745"/>
      <c r="T40" s="746"/>
      <c r="U40" s="746"/>
      <c r="V40" s="746"/>
      <c r="W40" s="746"/>
      <c r="X40" s="747"/>
      <c r="Y40" s="745"/>
      <c r="Z40" s="746"/>
      <c r="AA40" s="746"/>
      <c r="AB40" s="746"/>
      <c r="AC40" s="747"/>
      <c r="AN40" s="155"/>
    </row>
    <row r="41" spans="1:40" s="3" customFormat="1" ht="4.5" customHeight="1">
      <c r="A41" s="154"/>
      <c r="B41" s="69"/>
      <c r="C41" s="69"/>
      <c r="D41" s="69"/>
      <c r="E41" s="69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69"/>
      <c r="AA41" s="69"/>
      <c r="AB41" s="69"/>
      <c r="AC41" s="69"/>
      <c r="AN41" s="155"/>
    </row>
    <row r="42" spans="1:40" s="3" customFormat="1" ht="12.75" customHeight="1">
      <c r="A42" s="154"/>
      <c r="B42" s="692" t="s">
        <v>153</v>
      </c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92"/>
      <c r="AN42" s="155"/>
    </row>
    <row r="43" spans="1:40" s="3" customFormat="1" ht="3.75" customHeight="1">
      <c r="A43" s="154"/>
      <c r="B43" s="169"/>
      <c r="C43" s="169"/>
      <c r="D43" s="169"/>
      <c r="E43" s="169"/>
      <c r="F43" s="169"/>
      <c r="G43" s="169"/>
      <c r="H43" s="170"/>
      <c r="I43" s="169"/>
      <c r="J43" s="169"/>
      <c r="K43" s="169"/>
      <c r="L43" s="169"/>
      <c r="M43" s="169"/>
      <c r="N43" s="169"/>
      <c r="O43" s="170"/>
      <c r="P43" s="169"/>
      <c r="Q43" s="169"/>
      <c r="R43" s="169"/>
      <c r="S43" s="169"/>
      <c r="T43" s="169"/>
      <c r="U43" s="169"/>
      <c r="V43" s="170"/>
      <c r="W43" s="169"/>
      <c r="X43" s="169"/>
      <c r="Y43" s="169"/>
      <c r="Z43" s="169"/>
      <c r="AA43" s="169"/>
      <c r="AB43" s="169"/>
      <c r="AC43" s="169"/>
      <c r="AN43" s="155"/>
    </row>
    <row r="44" spans="1:40" s="3" customFormat="1" ht="12.75" customHeight="1">
      <c r="A44" s="154"/>
      <c r="B44" s="762" t="s">
        <v>108</v>
      </c>
      <c r="C44" s="762"/>
      <c r="D44" s="762"/>
      <c r="E44" s="762"/>
      <c r="F44" s="762"/>
      <c r="G44" s="20" t="s">
        <v>72</v>
      </c>
      <c r="H44" s="21"/>
      <c r="I44" s="760" t="s">
        <v>665</v>
      </c>
      <c r="J44" s="760"/>
      <c r="K44" s="760"/>
      <c r="L44" s="760"/>
      <c r="M44" s="760"/>
      <c r="N44" s="20"/>
      <c r="O44" s="22"/>
      <c r="P44" s="762" t="s">
        <v>76</v>
      </c>
      <c r="Q44" s="762"/>
      <c r="R44" s="762"/>
      <c r="S44" s="762"/>
      <c r="T44" s="762"/>
      <c r="U44" s="20"/>
      <c r="V44" s="22"/>
      <c r="W44" s="762" t="s">
        <v>378</v>
      </c>
      <c r="X44" s="762"/>
      <c r="Y44" s="762"/>
      <c r="Z44" s="762"/>
      <c r="AA44" s="762"/>
      <c r="AB44" s="762"/>
      <c r="AC44" s="20"/>
      <c r="AN44" s="155"/>
    </row>
    <row r="45" spans="1:40" s="3" customFormat="1" ht="12.75" customHeight="1">
      <c r="A45" s="154"/>
      <c r="B45" s="758" t="s">
        <v>77</v>
      </c>
      <c r="C45" s="758"/>
      <c r="D45" s="758"/>
      <c r="E45" s="758"/>
      <c r="F45" s="758"/>
      <c r="G45" s="23"/>
      <c r="H45" s="21"/>
      <c r="I45" s="761" t="s">
        <v>75</v>
      </c>
      <c r="J45" s="761"/>
      <c r="K45" s="761"/>
      <c r="L45" s="761"/>
      <c r="M45" s="761"/>
      <c r="N45" s="23"/>
      <c r="O45" s="22"/>
      <c r="P45" s="758" t="s">
        <v>80</v>
      </c>
      <c r="Q45" s="758"/>
      <c r="R45" s="758"/>
      <c r="S45" s="758"/>
      <c r="T45" s="758"/>
      <c r="U45" s="23"/>
      <c r="V45" s="22"/>
      <c r="W45" s="758" t="s">
        <v>85</v>
      </c>
      <c r="X45" s="758"/>
      <c r="Y45" s="758"/>
      <c r="Z45" s="758"/>
      <c r="AA45" s="758"/>
      <c r="AB45" s="758"/>
      <c r="AC45" s="20"/>
      <c r="AN45" s="155"/>
    </row>
    <row r="46" spans="1:40" s="3" customFormat="1" ht="12.75" customHeight="1">
      <c r="A46" s="154"/>
      <c r="B46" s="758" t="s">
        <v>79</v>
      </c>
      <c r="C46" s="758"/>
      <c r="D46" s="758"/>
      <c r="E46" s="758"/>
      <c r="F46" s="758"/>
      <c r="G46" s="23" t="s">
        <v>72</v>
      </c>
      <c r="H46" s="172"/>
      <c r="I46" s="761" t="s">
        <v>83</v>
      </c>
      <c r="J46" s="761"/>
      <c r="K46" s="761"/>
      <c r="L46" s="761"/>
      <c r="M46" s="761"/>
      <c r="N46" s="23"/>
      <c r="O46" s="171"/>
      <c r="P46" s="758" t="s">
        <v>78</v>
      </c>
      <c r="Q46" s="758"/>
      <c r="R46" s="758"/>
      <c r="S46" s="758"/>
      <c r="T46" s="758"/>
      <c r="U46" s="23"/>
      <c r="V46" s="171"/>
      <c r="W46" s="758" t="s">
        <v>84</v>
      </c>
      <c r="X46" s="758"/>
      <c r="Y46" s="758"/>
      <c r="Z46" s="758"/>
      <c r="AA46" s="758"/>
      <c r="AB46" s="758"/>
      <c r="AC46" s="20"/>
      <c r="AN46" s="155"/>
    </row>
    <row r="47" spans="1:40" ht="4.5" customHeight="1">
      <c r="A47" s="154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155"/>
    </row>
    <row r="48" spans="1:40" ht="12.75" customHeight="1">
      <c r="A48" s="154"/>
      <c r="B48" s="692" t="s">
        <v>177</v>
      </c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2"/>
      <c r="U48" s="692"/>
      <c r="V48" s="692"/>
      <c r="W48" s="692"/>
      <c r="X48" s="692"/>
      <c r="Y48" s="692"/>
      <c r="Z48" s="692"/>
      <c r="AA48" s="692"/>
      <c r="AB48" s="692"/>
      <c r="AC48" s="692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155"/>
    </row>
    <row r="49" spans="1:40" ht="12.75" customHeight="1">
      <c r="A49" s="154"/>
      <c r="B49" s="812" t="s">
        <v>956</v>
      </c>
      <c r="C49" s="813"/>
      <c r="D49" s="813"/>
      <c r="E49" s="813"/>
      <c r="F49" s="813"/>
      <c r="G49" s="813"/>
      <c r="H49" s="813"/>
      <c r="I49" s="813"/>
      <c r="J49" s="813"/>
      <c r="K49" s="813"/>
      <c r="L49" s="813"/>
      <c r="M49" s="813"/>
      <c r="N49" s="813"/>
      <c r="O49" s="813"/>
      <c r="P49" s="813"/>
      <c r="Q49" s="813"/>
      <c r="R49" s="813"/>
      <c r="S49" s="813"/>
      <c r="T49" s="813"/>
      <c r="U49" s="813"/>
      <c r="V49" s="813"/>
      <c r="W49" s="813"/>
      <c r="X49" s="813"/>
      <c r="Y49" s="813"/>
      <c r="Z49" s="813"/>
      <c r="AA49" s="813"/>
      <c r="AB49" s="813"/>
      <c r="AC49" s="814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155"/>
    </row>
    <row r="50" spans="1:40" ht="12.75" customHeight="1">
      <c r="A50" s="154"/>
      <c r="B50" s="815"/>
      <c r="C50" s="813"/>
      <c r="D50" s="813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813"/>
      <c r="Z50" s="813"/>
      <c r="AA50" s="813"/>
      <c r="AB50" s="813"/>
      <c r="AC50" s="814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155"/>
    </row>
    <row r="51" spans="1:40" ht="12.75" customHeight="1">
      <c r="A51" s="154"/>
      <c r="B51" s="815"/>
      <c r="C51" s="813"/>
      <c r="D51" s="813"/>
      <c r="E51" s="813"/>
      <c r="F51" s="813"/>
      <c r="G51" s="813"/>
      <c r="H51" s="813"/>
      <c r="I51" s="813"/>
      <c r="J51" s="813"/>
      <c r="K51" s="813"/>
      <c r="L51" s="813"/>
      <c r="M51" s="813"/>
      <c r="N51" s="813"/>
      <c r="O51" s="813"/>
      <c r="P51" s="813"/>
      <c r="Q51" s="813"/>
      <c r="R51" s="813"/>
      <c r="S51" s="813"/>
      <c r="T51" s="813"/>
      <c r="U51" s="813"/>
      <c r="V51" s="813"/>
      <c r="W51" s="813"/>
      <c r="X51" s="813"/>
      <c r="Y51" s="813"/>
      <c r="Z51" s="813"/>
      <c r="AA51" s="813"/>
      <c r="AB51" s="813"/>
      <c r="AC51" s="81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155"/>
    </row>
    <row r="52" spans="1:40" ht="12.75" customHeight="1">
      <c r="A52" s="154"/>
      <c r="B52" s="815"/>
      <c r="C52" s="813"/>
      <c r="D52" s="813"/>
      <c r="E52" s="813"/>
      <c r="F52" s="813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3"/>
      <c r="T52" s="813"/>
      <c r="U52" s="813"/>
      <c r="V52" s="813"/>
      <c r="W52" s="813"/>
      <c r="X52" s="813"/>
      <c r="Y52" s="813"/>
      <c r="Z52" s="813"/>
      <c r="AA52" s="813"/>
      <c r="AB52" s="813"/>
      <c r="AC52" s="81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155"/>
    </row>
    <row r="53" spans="1:40" ht="12.75" customHeight="1">
      <c r="A53" s="154"/>
      <c r="B53" s="815"/>
      <c r="C53" s="813"/>
      <c r="D53" s="813"/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813"/>
      <c r="R53" s="813"/>
      <c r="S53" s="813"/>
      <c r="T53" s="813"/>
      <c r="U53" s="813"/>
      <c r="V53" s="813"/>
      <c r="W53" s="813"/>
      <c r="X53" s="813"/>
      <c r="Y53" s="813"/>
      <c r="Z53" s="813"/>
      <c r="AA53" s="813"/>
      <c r="AB53" s="813"/>
      <c r="AC53" s="81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155"/>
    </row>
    <row r="54" spans="1:40" ht="12.75" customHeight="1">
      <c r="A54" s="154"/>
      <c r="B54" s="815"/>
      <c r="C54" s="813"/>
      <c r="D54" s="813"/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813"/>
      <c r="Q54" s="813"/>
      <c r="R54" s="813"/>
      <c r="S54" s="813"/>
      <c r="T54" s="813"/>
      <c r="U54" s="813"/>
      <c r="V54" s="813"/>
      <c r="W54" s="813"/>
      <c r="X54" s="813"/>
      <c r="Y54" s="813"/>
      <c r="Z54" s="813"/>
      <c r="AA54" s="813"/>
      <c r="AB54" s="813"/>
      <c r="AC54" s="81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155"/>
    </row>
    <row r="55" spans="1:40" ht="12.75" customHeight="1">
      <c r="A55" s="154"/>
      <c r="B55" s="815"/>
      <c r="C55" s="813"/>
      <c r="D55" s="813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3"/>
      <c r="V55" s="813"/>
      <c r="W55" s="813"/>
      <c r="X55" s="813"/>
      <c r="Y55" s="813"/>
      <c r="Z55" s="813"/>
      <c r="AA55" s="813"/>
      <c r="AB55" s="813"/>
      <c r="AC55" s="814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155"/>
    </row>
    <row r="56" spans="1:40" ht="9" customHeight="1">
      <c r="A56" s="154"/>
      <c r="B56" s="815"/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3"/>
      <c r="Z56" s="813"/>
      <c r="AA56" s="813"/>
      <c r="AB56" s="813"/>
      <c r="AC56" s="814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155"/>
    </row>
    <row r="57" spans="1:40" ht="6.75" customHeight="1">
      <c r="A57" s="154"/>
      <c r="B57" s="816"/>
      <c r="C57" s="817"/>
      <c r="D57" s="817"/>
      <c r="E57" s="817"/>
      <c r="F57" s="817"/>
      <c r="G57" s="817"/>
      <c r="H57" s="817"/>
      <c r="I57" s="817"/>
      <c r="J57" s="817"/>
      <c r="K57" s="817"/>
      <c r="L57" s="817"/>
      <c r="M57" s="817"/>
      <c r="N57" s="817"/>
      <c r="O57" s="817"/>
      <c r="P57" s="817"/>
      <c r="Q57" s="817"/>
      <c r="R57" s="817"/>
      <c r="S57" s="817"/>
      <c r="T57" s="817"/>
      <c r="U57" s="817"/>
      <c r="V57" s="817"/>
      <c r="W57" s="817"/>
      <c r="X57" s="817"/>
      <c r="Y57" s="817"/>
      <c r="Z57" s="817"/>
      <c r="AA57" s="817"/>
      <c r="AB57" s="817"/>
      <c r="AC57" s="818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155"/>
    </row>
    <row r="58" spans="1:40" ht="4.5" customHeight="1">
      <c r="A58" s="154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155"/>
    </row>
    <row r="59" spans="1:40" s="3" customFormat="1" ht="12.75" customHeight="1">
      <c r="A59" s="154"/>
      <c r="B59" s="790" t="s">
        <v>178</v>
      </c>
      <c r="C59" s="790"/>
      <c r="D59" s="790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790"/>
      <c r="AC59" s="790"/>
      <c r="AD59" s="1"/>
      <c r="AE59" s="7" t="s">
        <v>8</v>
      </c>
      <c r="AF59" s="1"/>
      <c r="AG59" s="1"/>
      <c r="AH59" s="1"/>
      <c r="AI59" s="1"/>
      <c r="AJ59" s="1"/>
      <c r="AK59" s="1"/>
      <c r="AN59" s="155"/>
    </row>
    <row r="60" spans="1:40" s="3" customFormat="1" ht="3.75" customHeight="1">
      <c r="A60" s="154"/>
      <c r="B60" s="164"/>
      <c r="C60" s="164"/>
      <c r="D60" s="164"/>
      <c r="E60" s="164"/>
      <c r="F60" s="164"/>
      <c r="G60" s="164"/>
      <c r="H60" s="165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5"/>
      <c r="W60" s="164"/>
      <c r="X60" s="164"/>
      <c r="Y60" s="164"/>
      <c r="Z60" s="164"/>
      <c r="AA60" s="164"/>
      <c r="AB60" s="164"/>
      <c r="AC60" s="164"/>
      <c r="AD60" s="1"/>
      <c r="AE60" s="7"/>
      <c r="AF60" s="1"/>
      <c r="AG60" s="1"/>
      <c r="AH60" s="1"/>
      <c r="AI60" s="1"/>
      <c r="AJ60" s="1"/>
      <c r="AK60" s="1"/>
      <c r="AN60" s="155"/>
    </row>
    <row r="61" spans="1:40" s="3" customFormat="1" ht="12.75" customHeight="1">
      <c r="A61" s="154"/>
      <c r="B61" s="762" t="s">
        <v>9</v>
      </c>
      <c r="C61" s="762"/>
      <c r="D61" s="762"/>
      <c r="E61" s="762"/>
      <c r="F61" s="762"/>
      <c r="G61" s="20" t="s">
        <v>72</v>
      </c>
      <c r="H61" s="19"/>
      <c r="I61" s="762" t="s">
        <v>81</v>
      </c>
      <c r="J61" s="762"/>
      <c r="K61" s="762"/>
      <c r="L61" s="762"/>
      <c r="M61" s="762"/>
      <c r="N61" s="35" t="s">
        <v>72</v>
      </c>
      <c r="O61" s="19"/>
      <c r="P61" s="802" t="s">
        <v>11</v>
      </c>
      <c r="Q61" s="802"/>
      <c r="R61" s="802"/>
      <c r="S61" s="802"/>
      <c r="T61" s="802"/>
      <c r="U61" s="20"/>
      <c r="V61" s="21"/>
      <c r="W61" s="762" t="s">
        <v>74</v>
      </c>
      <c r="X61" s="762"/>
      <c r="Y61" s="762"/>
      <c r="Z61" s="762"/>
      <c r="AA61" s="762"/>
      <c r="AB61" s="762"/>
      <c r="AC61" s="20" t="s">
        <v>72</v>
      </c>
      <c r="AE61" s="7" t="s">
        <v>54</v>
      </c>
      <c r="AI61" s="3" t="s">
        <v>195</v>
      </c>
      <c r="AK61" s="1"/>
      <c r="AN61" s="155"/>
    </row>
    <row r="62" spans="1:40" s="3" customFormat="1" ht="12.75" customHeight="1">
      <c r="A62" s="154"/>
      <c r="B62" s="758" t="s">
        <v>12</v>
      </c>
      <c r="C62" s="758"/>
      <c r="D62" s="758"/>
      <c r="E62" s="758"/>
      <c r="F62" s="758"/>
      <c r="G62" s="23" t="s">
        <v>72</v>
      </c>
      <c r="H62" s="19"/>
      <c r="I62" s="758" t="s">
        <v>73</v>
      </c>
      <c r="J62" s="758"/>
      <c r="K62" s="758"/>
      <c r="L62" s="758"/>
      <c r="M62" s="758"/>
      <c r="N62" s="31" t="s">
        <v>72</v>
      </c>
      <c r="O62" s="19"/>
      <c r="P62" s="758" t="s">
        <v>82</v>
      </c>
      <c r="Q62" s="758"/>
      <c r="R62" s="758"/>
      <c r="S62" s="758"/>
      <c r="T62" s="758"/>
      <c r="U62" s="592" t="s">
        <v>72</v>
      </c>
      <c r="V62" s="19"/>
      <c r="W62" s="758" t="s">
        <v>14</v>
      </c>
      <c r="X62" s="758"/>
      <c r="Y62" s="758"/>
      <c r="Z62" s="758"/>
      <c r="AA62" s="758"/>
      <c r="AB62" s="758"/>
      <c r="AC62" s="23" t="s">
        <v>72</v>
      </c>
      <c r="AE62" s="7" t="s">
        <v>4</v>
      </c>
      <c r="AI62" s="3" t="s">
        <v>196</v>
      </c>
      <c r="AK62" s="1"/>
      <c r="AN62" s="155"/>
    </row>
    <row r="63" spans="1:40" s="3" customFormat="1" ht="12.75" customHeight="1">
      <c r="A63" s="154"/>
      <c r="B63" s="758" t="s">
        <v>10</v>
      </c>
      <c r="C63" s="758"/>
      <c r="D63" s="758"/>
      <c r="E63" s="758"/>
      <c r="F63" s="758"/>
      <c r="G63" s="23" t="s">
        <v>72</v>
      </c>
      <c r="H63" s="19"/>
      <c r="I63" s="758" t="s">
        <v>13</v>
      </c>
      <c r="J63" s="758"/>
      <c r="K63" s="758"/>
      <c r="L63" s="758"/>
      <c r="M63" s="758"/>
      <c r="N63" s="31" t="s">
        <v>72</v>
      </c>
      <c r="O63" s="19"/>
      <c r="P63" s="758" t="s">
        <v>97</v>
      </c>
      <c r="Q63" s="758"/>
      <c r="R63" s="758"/>
      <c r="S63" s="758"/>
      <c r="T63" s="758"/>
      <c r="U63" s="23"/>
      <c r="V63" s="21"/>
      <c r="W63" s="758" t="s">
        <v>15</v>
      </c>
      <c r="X63" s="758"/>
      <c r="Y63" s="758"/>
      <c r="Z63" s="758"/>
      <c r="AA63" s="758"/>
      <c r="AB63" s="758"/>
      <c r="AC63" s="593" t="s">
        <v>72</v>
      </c>
      <c r="AE63" s="7" t="s">
        <v>55</v>
      </c>
      <c r="AI63" s="3" t="s">
        <v>197</v>
      </c>
      <c r="AK63" s="1"/>
      <c r="AN63" s="155"/>
    </row>
    <row r="64" spans="1:40" s="3" customFormat="1" ht="4.5" customHeight="1">
      <c r="A64" s="154"/>
      <c r="B64" s="69"/>
      <c r="C64" s="19"/>
      <c r="D64" s="19"/>
      <c r="E64" s="19"/>
      <c r="F64" s="21"/>
      <c r="G64" s="21"/>
      <c r="H64" s="19"/>
      <c r="I64" s="21"/>
      <c r="J64" s="21"/>
      <c r="K64" s="21"/>
      <c r="L64" s="21"/>
      <c r="M64" s="19"/>
      <c r="N64" s="19"/>
      <c r="O64" s="19"/>
      <c r="P64" s="19"/>
      <c r="Q64" s="22"/>
      <c r="R64" s="21"/>
      <c r="S64" s="22"/>
      <c r="T64" s="19"/>
      <c r="U64" s="21"/>
      <c r="V64" s="21"/>
      <c r="W64" s="21"/>
      <c r="X64" s="21"/>
      <c r="Y64" s="21"/>
      <c r="Z64" s="21"/>
      <c r="AA64" s="21"/>
      <c r="AB64" s="21"/>
      <c r="AC64" s="69"/>
      <c r="AE64" s="7" t="s">
        <v>3</v>
      </c>
      <c r="AI64" s="7" t="s">
        <v>198</v>
      </c>
      <c r="AK64" s="1"/>
      <c r="AN64" s="155"/>
    </row>
    <row r="65" spans="1:40" s="3" customFormat="1" ht="12.75" customHeight="1">
      <c r="A65" s="154"/>
      <c r="B65" s="804" t="s">
        <v>641</v>
      </c>
      <c r="C65" s="805"/>
      <c r="D65" s="805"/>
      <c r="E65" s="805"/>
      <c r="F65" s="805"/>
      <c r="G65" s="806"/>
      <c r="H65" s="19"/>
      <c r="I65" s="807" t="s">
        <v>99</v>
      </c>
      <c r="J65" s="808"/>
      <c r="K65" s="808"/>
      <c r="L65" s="808"/>
      <c r="M65" s="808"/>
      <c r="N65" s="809"/>
      <c r="O65" s="19"/>
      <c r="P65" s="807" t="s">
        <v>100</v>
      </c>
      <c r="Q65" s="808"/>
      <c r="R65" s="808"/>
      <c r="S65" s="808"/>
      <c r="T65" s="808"/>
      <c r="U65" s="809"/>
      <c r="V65" s="19"/>
      <c r="W65" s="810" t="s">
        <v>101</v>
      </c>
      <c r="X65" s="810"/>
      <c r="Y65" s="810"/>
      <c r="Z65" s="810"/>
      <c r="AA65" s="810"/>
      <c r="AB65" s="810"/>
      <c r="AC65" s="810"/>
      <c r="AE65" s="7" t="s">
        <v>191</v>
      </c>
      <c r="AK65" s="1"/>
      <c r="AN65" s="155"/>
    </row>
    <row r="66" spans="1:40" s="3" customFormat="1" ht="12.75" customHeight="1">
      <c r="A66" s="154"/>
      <c r="B66" s="819" t="s">
        <v>371</v>
      </c>
      <c r="C66" s="820"/>
      <c r="D66" s="820"/>
      <c r="E66" s="820"/>
      <c r="F66" s="820"/>
      <c r="G66" s="821"/>
      <c r="H66" s="19"/>
      <c r="I66" s="819" t="s">
        <v>4</v>
      </c>
      <c r="J66" s="820"/>
      <c r="K66" s="820"/>
      <c r="L66" s="820"/>
      <c r="M66" s="820"/>
      <c r="N66" s="821"/>
      <c r="O66" s="19"/>
      <c r="P66" s="819" t="s">
        <v>4</v>
      </c>
      <c r="Q66" s="820"/>
      <c r="R66" s="820"/>
      <c r="S66" s="820"/>
      <c r="T66" s="820"/>
      <c r="U66" s="821"/>
      <c r="V66" s="19"/>
      <c r="W66" s="819" t="s">
        <v>372</v>
      </c>
      <c r="X66" s="820"/>
      <c r="Y66" s="820"/>
      <c r="Z66" s="820"/>
      <c r="AA66" s="820"/>
      <c r="AB66" s="820"/>
      <c r="AC66" s="821"/>
      <c r="AE66" s="7" t="s">
        <v>192</v>
      </c>
      <c r="AI66" s="7" t="s">
        <v>199</v>
      </c>
      <c r="AK66" s="1"/>
      <c r="AN66" s="155"/>
    </row>
    <row r="67" spans="1:40" s="3" customFormat="1" ht="4.5" customHeight="1">
      <c r="A67" s="154"/>
      <c r="B67" s="6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69"/>
      <c r="AE67" s="7"/>
      <c r="AI67" s="7" t="s">
        <v>200</v>
      </c>
      <c r="AK67" s="1"/>
      <c r="AN67" s="155"/>
    </row>
    <row r="68" spans="1:40" s="3" customFormat="1" ht="12.75" customHeight="1">
      <c r="A68" s="154"/>
      <c r="B68" s="803" t="s">
        <v>648</v>
      </c>
      <c r="C68" s="803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803"/>
      <c r="Y68" s="803"/>
      <c r="Z68" s="803"/>
      <c r="AA68" s="803"/>
      <c r="AB68" s="803"/>
      <c r="AC68" s="803"/>
      <c r="AE68" s="7" t="s">
        <v>193</v>
      </c>
      <c r="AI68" s="7" t="s">
        <v>201</v>
      </c>
      <c r="AK68" s="1"/>
      <c r="AN68" s="155"/>
    </row>
    <row r="69" spans="1:40" s="3" customFormat="1" ht="4.5" customHeight="1">
      <c r="A69" s="154"/>
      <c r="B69" s="166"/>
      <c r="C69" s="166"/>
      <c r="D69" s="166"/>
      <c r="E69" s="166"/>
      <c r="F69" s="166"/>
      <c r="G69" s="166"/>
      <c r="H69" s="166"/>
      <c r="I69" s="166"/>
      <c r="J69" s="167"/>
      <c r="K69" s="167"/>
      <c r="L69" s="166"/>
      <c r="M69" s="166"/>
      <c r="N69" s="166"/>
      <c r="O69" s="166"/>
      <c r="P69" s="166"/>
      <c r="Q69" s="166"/>
      <c r="R69" s="166"/>
      <c r="S69" s="166"/>
      <c r="T69" s="167"/>
      <c r="U69" s="167"/>
      <c r="V69" s="166"/>
      <c r="W69" s="166"/>
      <c r="X69" s="166"/>
      <c r="Y69" s="166"/>
      <c r="Z69" s="166"/>
      <c r="AA69" s="166"/>
      <c r="AB69" s="166"/>
      <c r="AC69" s="166"/>
      <c r="AE69" s="7"/>
      <c r="AI69" s="7"/>
      <c r="AK69" s="1"/>
      <c r="AN69" s="155"/>
    </row>
    <row r="70" spans="1:40" s="3" customFormat="1" ht="12.75" customHeight="1">
      <c r="A70" s="154"/>
      <c r="B70" s="801" t="s">
        <v>642</v>
      </c>
      <c r="C70" s="801"/>
      <c r="D70" s="801"/>
      <c r="E70" s="801"/>
      <c r="F70" s="801"/>
      <c r="G70" s="801"/>
      <c r="H70" s="801"/>
      <c r="I70" s="378" t="s">
        <v>72</v>
      </c>
      <c r="J70" s="36"/>
      <c r="K70" s="37"/>
      <c r="L70" s="801" t="s">
        <v>87</v>
      </c>
      <c r="M70" s="801"/>
      <c r="N70" s="801"/>
      <c r="O70" s="801"/>
      <c r="P70" s="801"/>
      <c r="Q70" s="801"/>
      <c r="R70" s="801"/>
      <c r="S70" s="378"/>
      <c r="T70" s="36"/>
      <c r="U70" s="37"/>
      <c r="V70" s="801" t="s">
        <v>88</v>
      </c>
      <c r="W70" s="801"/>
      <c r="X70" s="801"/>
      <c r="Y70" s="801"/>
      <c r="Z70" s="801"/>
      <c r="AA70" s="801"/>
      <c r="AB70" s="801"/>
      <c r="AC70" s="379"/>
      <c r="AE70" s="7" t="s">
        <v>194</v>
      </c>
      <c r="AK70" s="1"/>
      <c r="AN70" s="155"/>
    </row>
    <row r="71" spans="1:40" s="3" customFormat="1" ht="12.75" customHeight="1">
      <c r="A71" s="154"/>
      <c r="B71" s="801" t="s">
        <v>643</v>
      </c>
      <c r="C71" s="801"/>
      <c r="D71" s="801"/>
      <c r="E71" s="801"/>
      <c r="F71" s="801"/>
      <c r="G71" s="801"/>
      <c r="H71" s="801"/>
      <c r="I71" s="378" t="s">
        <v>72</v>
      </c>
      <c r="J71" s="36"/>
      <c r="K71" s="37"/>
      <c r="L71" s="811" t="s">
        <v>385</v>
      </c>
      <c r="M71" s="759"/>
      <c r="N71" s="759"/>
      <c r="O71" s="759"/>
      <c r="P71" s="759"/>
      <c r="Q71" s="759"/>
      <c r="R71" s="759"/>
      <c r="S71" s="378"/>
      <c r="T71" s="36"/>
      <c r="U71" s="37"/>
      <c r="V71" s="759" t="s">
        <v>646</v>
      </c>
      <c r="W71" s="759"/>
      <c r="X71" s="759"/>
      <c r="Y71" s="759"/>
      <c r="Z71" s="759"/>
      <c r="AA71" s="759"/>
      <c r="AB71" s="759"/>
      <c r="AC71" s="380"/>
      <c r="AK71" s="1"/>
      <c r="AN71" s="155"/>
    </row>
    <row r="72" spans="1:40" s="3" customFormat="1" ht="12.75" customHeight="1">
      <c r="A72" s="154"/>
      <c r="B72" s="759" t="s">
        <v>86</v>
      </c>
      <c r="C72" s="759"/>
      <c r="D72" s="759"/>
      <c r="E72" s="759"/>
      <c r="F72" s="759"/>
      <c r="G72" s="759"/>
      <c r="H72" s="759"/>
      <c r="I72" s="378" t="s">
        <v>72</v>
      </c>
      <c r="J72" s="36"/>
      <c r="K72" s="37"/>
      <c r="L72" s="811" t="s">
        <v>98</v>
      </c>
      <c r="M72" s="759"/>
      <c r="N72" s="759"/>
      <c r="O72" s="759"/>
      <c r="P72" s="759"/>
      <c r="Q72" s="759"/>
      <c r="R72" s="759"/>
      <c r="S72" s="378"/>
      <c r="T72" s="36"/>
      <c r="U72" s="37"/>
      <c r="V72" s="759" t="s">
        <v>647</v>
      </c>
      <c r="W72" s="759"/>
      <c r="X72" s="759"/>
      <c r="Y72" s="759"/>
      <c r="Z72" s="759"/>
      <c r="AA72" s="759"/>
      <c r="AB72" s="759"/>
      <c r="AC72" s="380"/>
      <c r="AK72" s="1"/>
      <c r="AN72" s="155"/>
    </row>
    <row r="73" spans="1:40" s="3" customFormat="1" ht="12.75" customHeight="1">
      <c r="A73" s="154"/>
      <c r="B73" s="759" t="s">
        <v>644</v>
      </c>
      <c r="C73" s="759"/>
      <c r="D73" s="759"/>
      <c r="E73" s="759"/>
      <c r="F73" s="759"/>
      <c r="G73" s="759"/>
      <c r="H73" s="745"/>
      <c r="I73" s="378" t="s">
        <v>72</v>
      </c>
      <c r="J73" s="36"/>
      <c r="K73" s="37"/>
      <c r="L73" s="759" t="s">
        <v>645</v>
      </c>
      <c r="M73" s="747"/>
      <c r="N73" s="759"/>
      <c r="O73" s="759"/>
      <c r="P73" s="759"/>
      <c r="Q73" s="759"/>
      <c r="R73" s="759"/>
      <c r="S73" s="378"/>
      <c r="T73" s="36"/>
      <c r="U73" s="37"/>
      <c r="V73" s="759"/>
      <c r="W73" s="759"/>
      <c r="X73" s="759"/>
      <c r="Y73" s="759"/>
      <c r="Z73" s="759"/>
      <c r="AA73" s="759"/>
      <c r="AB73" s="759"/>
      <c r="AC73" s="379"/>
      <c r="AK73" s="1"/>
      <c r="AN73" s="155"/>
    </row>
    <row r="74" spans="1:40" s="3" customFormat="1" ht="4.5" customHeight="1">
      <c r="A74" s="154"/>
      <c r="B74" s="822"/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22"/>
      <c r="AC74" s="822"/>
      <c r="AK74" s="1"/>
      <c r="AN74" s="155"/>
    </row>
    <row r="75" spans="1:40" s="3" customFormat="1" ht="12.75" customHeight="1">
      <c r="A75" s="154"/>
      <c r="B75" s="790" t="s">
        <v>179</v>
      </c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790"/>
      <c r="O75" s="790"/>
      <c r="P75" s="790"/>
      <c r="Q75" s="790"/>
      <c r="R75" s="790"/>
      <c r="S75" s="790"/>
      <c r="T75" s="790"/>
      <c r="U75" s="790"/>
      <c r="V75" s="790"/>
      <c r="W75" s="790"/>
      <c r="X75" s="790"/>
      <c r="Y75" s="790"/>
      <c r="Z75" s="790"/>
      <c r="AA75" s="790"/>
      <c r="AB75" s="790"/>
      <c r="AC75" s="790"/>
      <c r="AK75" s="1"/>
      <c r="AN75" s="155"/>
    </row>
    <row r="76" spans="1:40" s="3" customFormat="1" ht="4.5" customHeight="1">
      <c r="A76" s="154"/>
      <c r="B76" s="164"/>
      <c r="C76" s="164"/>
      <c r="D76" s="164"/>
      <c r="E76" s="164"/>
      <c r="F76" s="164"/>
      <c r="G76" s="164"/>
      <c r="H76" s="164"/>
      <c r="I76" s="164"/>
      <c r="J76" s="165"/>
      <c r="K76" s="165"/>
      <c r="L76" s="164"/>
      <c r="M76" s="164"/>
      <c r="N76" s="164"/>
      <c r="O76" s="164"/>
      <c r="P76" s="164"/>
      <c r="Q76" s="164"/>
      <c r="R76" s="164"/>
      <c r="S76" s="164"/>
      <c r="T76" s="165"/>
      <c r="U76" s="165"/>
      <c r="V76" s="164"/>
      <c r="W76" s="164"/>
      <c r="X76" s="164"/>
      <c r="Y76" s="164"/>
      <c r="Z76" s="164"/>
      <c r="AA76" s="164"/>
      <c r="AB76" s="164"/>
      <c r="AC76" s="164"/>
      <c r="AK76" s="1"/>
      <c r="AN76" s="155"/>
    </row>
    <row r="77" spans="1:40" s="3" customFormat="1" ht="12.75" customHeight="1">
      <c r="A77" s="154"/>
      <c r="B77" s="801" t="s">
        <v>36</v>
      </c>
      <c r="C77" s="801"/>
      <c r="D77" s="801"/>
      <c r="E77" s="801"/>
      <c r="F77" s="801"/>
      <c r="G77" s="801"/>
      <c r="H77" s="801"/>
      <c r="I77" s="378"/>
      <c r="J77" s="388"/>
      <c r="K77" s="38"/>
      <c r="L77" s="798" t="s">
        <v>95</v>
      </c>
      <c r="M77" s="799"/>
      <c r="N77" s="799"/>
      <c r="O77" s="799"/>
      <c r="P77" s="799"/>
      <c r="Q77" s="799"/>
      <c r="R77" s="800"/>
      <c r="S77" s="380" t="s">
        <v>72</v>
      </c>
      <c r="T77" s="388"/>
      <c r="U77" s="38"/>
      <c r="V77" s="798" t="s">
        <v>669</v>
      </c>
      <c r="W77" s="799"/>
      <c r="X77" s="799"/>
      <c r="Y77" s="799"/>
      <c r="Z77" s="799"/>
      <c r="AA77" s="799"/>
      <c r="AB77" s="800"/>
      <c r="AC77" s="380"/>
      <c r="AE77" s="3">
        <f>IF(I77="x",1,0)</f>
        <v>0</v>
      </c>
      <c r="AF77" s="3">
        <f>IF(S77="x",1,0)</f>
        <v>1</v>
      </c>
      <c r="AG77" s="3">
        <f>IF(AC77="x",1,0)</f>
        <v>0</v>
      </c>
      <c r="AK77" s="1"/>
      <c r="AN77" s="155"/>
    </row>
    <row r="78" spans="1:40" s="3" customFormat="1" ht="12.75" customHeight="1">
      <c r="A78" s="154"/>
      <c r="B78" s="759" t="s">
        <v>34</v>
      </c>
      <c r="C78" s="759"/>
      <c r="D78" s="759"/>
      <c r="E78" s="759"/>
      <c r="F78" s="759"/>
      <c r="G78" s="759"/>
      <c r="H78" s="759"/>
      <c r="I78" s="379"/>
      <c r="J78" s="388"/>
      <c r="K78" s="38"/>
      <c r="L78" s="745" t="s">
        <v>35</v>
      </c>
      <c r="M78" s="746"/>
      <c r="N78" s="746"/>
      <c r="O78" s="746"/>
      <c r="P78" s="746"/>
      <c r="Q78" s="746"/>
      <c r="R78" s="747"/>
      <c r="S78" s="379"/>
      <c r="T78" s="388"/>
      <c r="U78" s="38"/>
      <c r="V78" s="745" t="s">
        <v>666</v>
      </c>
      <c r="W78" s="746"/>
      <c r="X78" s="746"/>
      <c r="Y78" s="746"/>
      <c r="Z78" s="746"/>
      <c r="AA78" s="746"/>
      <c r="AB78" s="747"/>
      <c r="AC78" s="379"/>
      <c r="AF78" s="3">
        <f>IF(S78="x",10000,0)</f>
        <v>0</v>
      </c>
      <c r="AG78" s="3">
        <f>IF(AC78="x",1,0)</f>
        <v>0</v>
      </c>
      <c r="AK78" s="1"/>
      <c r="AN78" s="155"/>
    </row>
    <row r="79" spans="1:40" s="3" customFormat="1" ht="12.75" customHeight="1">
      <c r="A79" s="154"/>
      <c r="B79" s="759" t="s">
        <v>96</v>
      </c>
      <c r="C79" s="759"/>
      <c r="D79" s="759"/>
      <c r="E79" s="759"/>
      <c r="F79" s="759"/>
      <c r="G79" s="759"/>
      <c r="H79" s="759"/>
      <c r="I79" s="379"/>
      <c r="J79" s="388"/>
      <c r="K79" s="38"/>
      <c r="L79" s="745" t="s">
        <v>667</v>
      </c>
      <c r="M79" s="746"/>
      <c r="N79" s="746"/>
      <c r="O79" s="746"/>
      <c r="P79" s="746"/>
      <c r="Q79" s="746"/>
      <c r="R79" s="747"/>
      <c r="S79" s="379"/>
      <c r="T79" s="388"/>
      <c r="U79" s="38"/>
      <c r="V79" s="745" t="s">
        <v>670</v>
      </c>
      <c r="W79" s="746"/>
      <c r="X79" s="746"/>
      <c r="Y79" s="746"/>
      <c r="Z79" s="746"/>
      <c r="AA79" s="746"/>
      <c r="AB79" s="747"/>
      <c r="AC79" s="379"/>
      <c r="AE79" s="3">
        <f>IF(I79="x",1,0)</f>
        <v>0</v>
      </c>
      <c r="AF79" s="3">
        <f>IF(S79="x",1,0)</f>
        <v>0</v>
      </c>
      <c r="AG79" s="3">
        <f>IF(AC79="x",1,0)</f>
        <v>0</v>
      </c>
      <c r="AK79" s="1"/>
      <c r="AN79" s="155"/>
    </row>
    <row r="80" spans="1:40" s="3" customFormat="1" ht="6.75" customHeight="1">
      <c r="A80" s="161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3"/>
    </row>
    <row r="81" s="3" customFormat="1" ht="12.75" customHeight="1"/>
    <row r="82" s="3" customFormat="1" ht="12.75" customHeight="1"/>
    <row r="83" s="3" customFormat="1" ht="12.75" customHeight="1"/>
    <row r="84" s="3" customFormat="1" ht="12.75" customHeight="1"/>
    <row r="85" s="3" customFormat="1" ht="12.75" customHeight="1"/>
    <row r="86" s="3" customFormat="1" ht="12.75" customHeight="1"/>
    <row r="87" s="3" customFormat="1" ht="12.75" customHeight="1"/>
    <row r="88" s="3" customFormat="1" ht="12.75" customHeight="1"/>
    <row r="89" s="3" customFormat="1" ht="12.75" customHeight="1"/>
    <row r="90" s="3" customFormat="1" ht="12.75" customHeight="1"/>
    <row r="91" s="3" customFormat="1" ht="16.5" customHeight="1"/>
    <row r="92" s="3" customFormat="1" ht="16.5" customHeight="1"/>
    <row r="93" s="3" customFormat="1" ht="16.5" customHeight="1"/>
    <row r="94" s="3" customFormat="1" ht="16.5" customHeight="1"/>
    <row r="95" s="3" customFormat="1" ht="16.5" customHeight="1"/>
    <row r="96" s="3" customFormat="1" ht="16.5" customHeight="1"/>
    <row r="97" s="3" customFormat="1" ht="16.5" customHeight="1"/>
    <row r="98" s="3" customFormat="1" ht="16.5" customHeight="1"/>
    <row r="99" s="3" customFormat="1" ht="16.5" customHeight="1"/>
    <row r="100" s="3" customFormat="1" ht="16.5" customHeight="1"/>
  </sheetData>
  <mergeCells count="233">
    <mergeCell ref="B79:H79"/>
    <mergeCell ref="L79:R79"/>
    <mergeCell ref="V79:AB79"/>
    <mergeCell ref="B48:AC48"/>
    <mergeCell ref="B49:AC57"/>
    <mergeCell ref="B66:G66"/>
    <mergeCell ref="I66:N66"/>
    <mergeCell ref="P66:U66"/>
    <mergeCell ref="W66:AC66"/>
    <mergeCell ref="B63:F63"/>
    <mergeCell ref="L70:R70"/>
    <mergeCell ref="V70:AB70"/>
    <mergeCell ref="B71:H71"/>
    <mergeCell ref="L71:R71"/>
    <mergeCell ref="V71:AB71"/>
    <mergeCell ref="B78:H78"/>
    <mergeCell ref="L78:R78"/>
    <mergeCell ref="V78:AB78"/>
    <mergeCell ref="B74:AC74"/>
    <mergeCell ref="B75:AC75"/>
    <mergeCell ref="B77:H77"/>
    <mergeCell ref="L77:R77"/>
    <mergeCell ref="V77:AB77"/>
    <mergeCell ref="B73:H73"/>
    <mergeCell ref="L73:R73"/>
    <mergeCell ref="V73:AB73"/>
    <mergeCell ref="B70:H70"/>
    <mergeCell ref="B61:F61"/>
    <mergeCell ref="I61:M61"/>
    <mergeCell ref="P61:T61"/>
    <mergeCell ref="W61:AB61"/>
    <mergeCell ref="B62:F62"/>
    <mergeCell ref="I62:M62"/>
    <mergeCell ref="P62:T62"/>
    <mergeCell ref="W62:AB62"/>
    <mergeCell ref="B68:AC68"/>
    <mergeCell ref="B65:G65"/>
    <mergeCell ref="I65:N65"/>
    <mergeCell ref="P65:U65"/>
    <mergeCell ref="W65:AC65"/>
    <mergeCell ref="I63:M63"/>
    <mergeCell ref="P63:T63"/>
    <mergeCell ref="W63:AB63"/>
    <mergeCell ref="B72:H72"/>
    <mergeCell ref="L72:R72"/>
    <mergeCell ref="V72:AB72"/>
    <mergeCell ref="B59:AC59"/>
    <mergeCell ref="B2:AC2"/>
    <mergeCell ref="B34:AC34"/>
    <mergeCell ref="B42:AC42"/>
    <mergeCell ref="T38:AC38"/>
    <mergeCell ref="T7:X7"/>
    <mergeCell ref="J4:N4"/>
    <mergeCell ref="J11:N11"/>
    <mergeCell ref="J7:N7"/>
    <mergeCell ref="J8:N8"/>
    <mergeCell ref="O11:S11"/>
    <mergeCell ref="T5:X5"/>
    <mergeCell ref="T8:X8"/>
    <mergeCell ref="Y8:AC8"/>
    <mergeCell ref="T6:X6"/>
    <mergeCell ref="H35:S35"/>
    <mergeCell ref="O13:S13"/>
    <mergeCell ref="J13:N13"/>
    <mergeCell ref="O12:S12"/>
    <mergeCell ref="J15:N15"/>
    <mergeCell ref="H12:I12"/>
    <mergeCell ref="J12:N12"/>
    <mergeCell ref="J14:N14"/>
    <mergeCell ref="O15:S15"/>
    <mergeCell ref="B19:G19"/>
    <mergeCell ref="B21:G21"/>
    <mergeCell ref="H19:I19"/>
    <mergeCell ref="B22:G22"/>
    <mergeCell ref="H29:I29"/>
    <mergeCell ref="H16:I16"/>
    <mergeCell ref="H17:I17"/>
    <mergeCell ref="O20:S20"/>
    <mergeCell ref="H23:I23"/>
    <mergeCell ref="O21:S21"/>
    <mergeCell ref="J21:N21"/>
    <mergeCell ref="H22:I22"/>
    <mergeCell ref="H24:I24"/>
    <mergeCell ref="H25:I25"/>
    <mergeCell ref="H27:I27"/>
    <mergeCell ref="B27:G27"/>
    <mergeCell ref="B28:G28"/>
    <mergeCell ref="J10:N10"/>
    <mergeCell ref="H10:I10"/>
    <mergeCell ref="H11:I11"/>
    <mergeCell ref="B10:G10"/>
    <mergeCell ref="J5:N5"/>
    <mergeCell ref="O5:S5"/>
    <mergeCell ref="T9:X9"/>
    <mergeCell ref="T10:X10"/>
    <mergeCell ref="B39:E39"/>
    <mergeCell ref="B16:G16"/>
    <mergeCell ref="B30:G30"/>
    <mergeCell ref="B29:G29"/>
    <mergeCell ref="B20:G20"/>
    <mergeCell ref="H36:S36"/>
    <mergeCell ref="B11:G11"/>
    <mergeCell ref="H7:I7"/>
    <mergeCell ref="H8:I8"/>
    <mergeCell ref="O17:S17"/>
    <mergeCell ref="B12:G12"/>
    <mergeCell ref="B13:G13"/>
    <mergeCell ref="B14:G14"/>
    <mergeCell ref="B15:G15"/>
    <mergeCell ref="B17:G17"/>
    <mergeCell ref="B18:G18"/>
    <mergeCell ref="Y4:AC4"/>
    <mergeCell ref="T4:X4"/>
    <mergeCell ref="O4:S4"/>
    <mergeCell ref="Y5:AC5"/>
    <mergeCell ref="B4:G4"/>
    <mergeCell ref="B9:G9"/>
    <mergeCell ref="H9:I9"/>
    <mergeCell ref="B5:G5"/>
    <mergeCell ref="B6:G6"/>
    <mergeCell ref="B7:G7"/>
    <mergeCell ref="B8:G8"/>
    <mergeCell ref="H6:I6"/>
    <mergeCell ref="H4:I4"/>
    <mergeCell ref="H5:I5"/>
    <mergeCell ref="J6:N6"/>
    <mergeCell ref="J9:N9"/>
    <mergeCell ref="Y10:AC10"/>
    <mergeCell ref="O6:S6"/>
    <mergeCell ref="O8:S8"/>
    <mergeCell ref="O7:S7"/>
    <mergeCell ref="O9:S9"/>
    <mergeCell ref="Y7:AC7"/>
    <mergeCell ref="O10:S10"/>
    <mergeCell ref="Y6:AC6"/>
    <mergeCell ref="Y12:AC12"/>
    <mergeCell ref="T11:X11"/>
    <mergeCell ref="Y9:AC9"/>
    <mergeCell ref="Y11:AC11"/>
    <mergeCell ref="Y15:AC15"/>
    <mergeCell ref="Y13:AC13"/>
    <mergeCell ref="T12:X12"/>
    <mergeCell ref="Y21:AC21"/>
    <mergeCell ref="T18:X18"/>
    <mergeCell ref="Y18:AC18"/>
    <mergeCell ref="T21:X21"/>
    <mergeCell ref="T14:X14"/>
    <mergeCell ref="Y19:AC19"/>
    <mergeCell ref="T20:X20"/>
    <mergeCell ref="Y14:AC14"/>
    <mergeCell ref="Y20:AC20"/>
    <mergeCell ref="T16:X16"/>
    <mergeCell ref="Y16:AC16"/>
    <mergeCell ref="T17:X17"/>
    <mergeCell ref="Y17:AC17"/>
    <mergeCell ref="B44:F44"/>
    <mergeCell ref="B40:E40"/>
    <mergeCell ref="T13:X13"/>
    <mergeCell ref="T15:X15"/>
    <mergeCell ref="J16:N16"/>
    <mergeCell ref="O16:S16"/>
    <mergeCell ref="H13:I13"/>
    <mergeCell ref="H18:I18"/>
    <mergeCell ref="H37:S37"/>
    <mergeCell ref="F35:G35"/>
    <mergeCell ref="B26:G26"/>
    <mergeCell ref="H26:I26"/>
    <mergeCell ref="H14:I14"/>
    <mergeCell ref="H15:I15"/>
    <mergeCell ref="J17:N17"/>
    <mergeCell ref="B23:G23"/>
    <mergeCell ref="B24:G24"/>
    <mergeCell ref="B25:G25"/>
    <mergeCell ref="O14:S14"/>
    <mergeCell ref="B35:E35"/>
    <mergeCell ref="F37:G37"/>
    <mergeCell ref="B31:I31"/>
    <mergeCell ref="J31:S31"/>
    <mergeCell ref="B32:I32"/>
    <mergeCell ref="B46:F46"/>
    <mergeCell ref="B45:F45"/>
    <mergeCell ref="B36:E36"/>
    <mergeCell ref="F36:G36"/>
    <mergeCell ref="F39:G39"/>
    <mergeCell ref="W46:AB46"/>
    <mergeCell ref="P46:T46"/>
    <mergeCell ref="I44:M44"/>
    <mergeCell ref="I45:M45"/>
    <mergeCell ref="P45:T45"/>
    <mergeCell ref="W45:AB45"/>
    <mergeCell ref="I46:M46"/>
    <mergeCell ref="P44:T44"/>
    <mergeCell ref="W44:AB44"/>
    <mergeCell ref="T37:AC37"/>
    <mergeCell ref="B37:E37"/>
    <mergeCell ref="T36:AC36"/>
    <mergeCell ref="H39:S39"/>
    <mergeCell ref="B38:E38"/>
    <mergeCell ref="F38:G38"/>
    <mergeCell ref="H38:O38"/>
    <mergeCell ref="P38:S38"/>
    <mergeCell ref="Y39:AC39"/>
    <mergeCell ref="F40:K40"/>
    <mergeCell ref="Y40:AC40"/>
    <mergeCell ref="J19:N19"/>
    <mergeCell ref="O19:S19"/>
    <mergeCell ref="J18:N18"/>
    <mergeCell ref="O18:S18"/>
    <mergeCell ref="Y29:AC29"/>
    <mergeCell ref="O29:S29"/>
    <mergeCell ref="J22:N22"/>
    <mergeCell ref="O22:S22"/>
    <mergeCell ref="J29:N29"/>
    <mergeCell ref="T19:X19"/>
    <mergeCell ref="T32:X32"/>
    <mergeCell ref="Y32:AC32"/>
    <mergeCell ref="T31:X31"/>
    <mergeCell ref="Y31:AC31"/>
    <mergeCell ref="S40:X40"/>
    <mergeCell ref="J32:S32"/>
    <mergeCell ref="J30:N30"/>
    <mergeCell ref="H21:I21"/>
    <mergeCell ref="H20:I20"/>
    <mergeCell ref="J20:N20"/>
    <mergeCell ref="T35:AC35"/>
    <mergeCell ref="T22:X22"/>
    <mergeCell ref="Y22:AC22"/>
    <mergeCell ref="Y30:AC30"/>
    <mergeCell ref="T29:X29"/>
    <mergeCell ref="O30:S30"/>
    <mergeCell ref="T30:X30"/>
    <mergeCell ref="H28:I28"/>
    <mergeCell ref="H30:I30"/>
  </mergeCells>
  <phoneticPr fontId="5" type="noConversion"/>
  <pageMargins left="0.59055118110236227" right="0.39370078740157483" top="0.39370078740157483" bottom="0.39370078740157483" header="0" footer="0"/>
  <pageSetup paperSize="9" scale="86" orientation="portrait" horizontalDpi="300" verticalDpi="300" r:id="rId1"/>
  <headerFooter alignWithMargins="0">
    <oddFooter>&amp;R&amp;8 2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lista!N3:N8</xm:f>
          </x14:formula1>
          <xm:sqref>B66:G66</xm:sqref>
        </x14:dataValidation>
        <x14:dataValidation type="list" allowBlank="1">
          <x14:formula1>
            <xm:f>lista!E3:E8</xm:f>
          </x14:formula1>
          <xm:sqref>P66:U66 I66:N66</xm:sqref>
        </x14:dataValidation>
        <x14:dataValidation type="list" allowBlank="1">
          <x14:formula1>
            <xm:f>lista!P3:P7</xm:f>
          </x14:formula1>
          <xm:sqref>W66:AC66</xm:sqref>
        </x14:dataValidation>
        <x14:dataValidation type="list" allowBlank="1" showInputMessage="1" showErrorMessage="1">
          <x14:formula1>
            <xm:f>lista!Q3:Q5</xm:f>
          </x14:formula1>
          <xm:sqref>J31:S31 F40:K40</xm:sqref>
        </x14:dataValidation>
        <x14:dataValidation type="list" allowBlank="1" showInputMessage="1" showErrorMessage="1">
          <x14:formula1>
            <xm:f>lista!G3:G11</xm:f>
          </x14:formula1>
          <xm:sqref>S40:X40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L72"/>
  <sheetViews>
    <sheetView showGridLines="0" view="pageBreakPreview" topLeftCell="A34" zoomScaleNormal="100" zoomScaleSheetLayoutView="100" workbookViewId="0">
      <selection activeCell="N21" sqref="N21"/>
    </sheetView>
  </sheetViews>
  <sheetFormatPr defaultRowHeight="12.75"/>
  <cols>
    <col min="1" max="1" width="1.7109375" style="54" customWidth="1"/>
    <col min="2" max="29" width="3.28515625" style="54" customWidth="1"/>
    <col min="30" max="33" width="0" style="54" hidden="1" customWidth="1"/>
    <col min="34" max="34" width="1.7109375" style="54" customWidth="1"/>
    <col min="35" max="39" width="4.7109375" style="54" customWidth="1"/>
    <col min="40" max="16384" width="9.140625" style="54"/>
  </cols>
  <sheetData>
    <row r="1" spans="1:37" ht="5.0999999999999996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6"/>
    </row>
    <row r="2" spans="1:37">
      <c r="A2" s="107"/>
      <c r="B2" s="844" t="s">
        <v>180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6"/>
      <c r="AD2" s="52"/>
      <c r="AE2" s="108"/>
      <c r="AF2" s="108"/>
      <c r="AG2" s="108"/>
      <c r="AH2" s="109"/>
      <c r="AI2" s="53"/>
      <c r="AJ2" s="53"/>
      <c r="AK2" s="53"/>
    </row>
    <row r="3" spans="1:37">
      <c r="A3" s="107"/>
      <c r="B3" s="900" t="s">
        <v>154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2"/>
      <c r="AD3" s="52"/>
      <c r="AE3" s="55"/>
      <c r="AF3" s="56"/>
      <c r="AG3" s="56"/>
      <c r="AH3" s="110"/>
      <c r="AI3" s="56"/>
      <c r="AJ3" s="56"/>
      <c r="AK3" s="53"/>
    </row>
    <row r="4" spans="1:37">
      <c r="A4" s="107"/>
      <c r="B4" s="903" t="s">
        <v>133</v>
      </c>
      <c r="C4" s="904"/>
      <c r="D4" s="904"/>
      <c r="E4" s="904"/>
      <c r="F4" s="905" t="s">
        <v>132</v>
      </c>
      <c r="G4" s="905"/>
      <c r="H4" s="905"/>
      <c r="I4" s="905"/>
      <c r="J4" s="906" t="str">
        <f>IF(F4="Real Averb.","Equiv. Averb.",IF(F4="Real Privativa.","Equiv. privativa"," "))</f>
        <v>Equiv. Averb.</v>
      </c>
      <c r="K4" s="906"/>
      <c r="L4" s="906"/>
      <c r="M4" s="906"/>
      <c r="N4" s="906" t="str">
        <f>IF(F4="Real Averb.","Real Não Averb.",IF(F4="Real Privativa.","Real comum"," "))</f>
        <v>Real Não Averb.</v>
      </c>
      <c r="O4" s="906"/>
      <c r="P4" s="906"/>
      <c r="Q4" s="906"/>
      <c r="R4" s="906" t="str">
        <f>IF(F4="Real Averb.","Equiv. Não Averb.",IF(F4="Real Privativa.","Equiv. comum"," "))</f>
        <v>Equiv. Não Averb.</v>
      </c>
      <c r="S4" s="906"/>
      <c r="T4" s="906"/>
      <c r="U4" s="906"/>
      <c r="V4" s="906" t="s">
        <v>134</v>
      </c>
      <c r="W4" s="906"/>
      <c r="X4" s="906"/>
      <c r="Y4" s="906"/>
      <c r="Z4" s="907" t="s">
        <v>206</v>
      </c>
      <c r="AA4" s="907"/>
      <c r="AB4" s="907"/>
      <c r="AC4" s="908"/>
      <c r="AD4" s="56" t="s">
        <v>132</v>
      </c>
      <c r="AE4" s="55"/>
      <c r="AF4" s="56"/>
      <c r="AG4" s="56"/>
      <c r="AH4" s="110"/>
      <c r="AI4" s="56"/>
      <c r="AJ4" s="56"/>
      <c r="AK4" s="53"/>
    </row>
    <row r="5" spans="1:37" ht="12.75" customHeight="1">
      <c r="A5" s="107"/>
      <c r="B5" s="874" t="str">
        <f>'Página 1'!B41</f>
        <v>Casa</v>
      </c>
      <c r="C5" s="875"/>
      <c r="D5" s="875"/>
      <c r="E5" s="875"/>
      <c r="F5" s="898">
        <f>'Página 1'!C41</f>
        <v>79.3</v>
      </c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9">
        <f>SUM(F5:U5)</f>
        <v>79.3</v>
      </c>
      <c r="W5" s="899"/>
      <c r="X5" s="899"/>
      <c r="Y5" s="899"/>
      <c r="Z5" s="896">
        <f>V5</f>
        <v>79.3</v>
      </c>
      <c r="AA5" s="896"/>
      <c r="AB5" s="896"/>
      <c r="AC5" s="897"/>
      <c r="AD5" s="56" t="s">
        <v>168</v>
      </c>
      <c r="AE5" s="55"/>
      <c r="AF5" s="56"/>
      <c r="AG5" s="56"/>
      <c r="AH5" s="110"/>
      <c r="AI5" s="56"/>
      <c r="AJ5" s="56"/>
      <c r="AK5" s="53"/>
    </row>
    <row r="6" spans="1:37" ht="12.75" customHeight="1">
      <c r="A6" s="107"/>
      <c r="B6" s="860" t="str">
        <f>'Página 1'!$B$42</f>
        <v>Anexo</v>
      </c>
      <c r="C6" s="861"/>
      <c r="D6" s="861"/>
      <c r="E6" s="861"/>
      <c r="F6" s="890">
        <f>'Página 1'!$C$42</f>
        <v>60</v>
      </c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5">
        <f>SUM(F6:U6)</f>
        <v>60</v>
      </c>
      <c r="W6" s="895"/>
      <c r="X6" s="895"/>
      <c r="Y6" s="895"/>
      <c r="Z6" s="893">
        <f>V6</f>
        <v>60</v>
      </c>
      <c r="AA6" s="893"/>
      <c r="AB6" s="893"/>
      <c r="AC6" s="894"/>
      <c r="AD6" s="56"/>
      <c r="AE6" s="55"/>
      <c r="AF6" s="56"/>
      <c r="AG6" s="56"/>
      <c r="AH6" s="110"/>
      <c r="AI6" s="55"/>
      <c r="AJ6" s="56"/>
      <c r="AK6" s="53"/>
    </row>
    <row r="7" spans="1:37" ht="12.75" customHeight="1">
      <c r="A7" s="107"/>
      <c r="B7" s="860"/>
      <c r="C7" s="861"/>
      <c r="D7" s="861"/>
      <c r="E7" s="861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5">
        <f>SUM(F7,N7)</f>
        <v>0</v>
      </c>
      <c r="W7" s="895"/>
      <c r="X7" s="895"/>
      <c r="Y7" s="895"/>
      <c r="Z7" s="893">
        <f>SUM(J7,R7)</f>
        <v>0</v>
      </c>
      <c r="AA7" s="893"/>
      <c r="AB7" s="893"/>
      <c r="AC7" s="894"/>
      <c r="AD7" s="56"/>
      <c r="AE7" s="55"/>
      <c r="AF7" s="56"/>
      <c r="AG7" s="56"/>
      <c r="AH7" s="110"/>
      <c r="AI7" s="56"/>
      <c r="AJ7" s="56"/>
      <c r="AK7" s="53"/>
    </row>
    <row r="8" spans="1:37" ht="12.75" customHeight="1">
      <c r="A8" s="107"/>
      <c r="B8" s="860"/>
      <c r="C8" s="861"/>
      <c r="D8" s="861"/>
      <c r="E8" s="861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5">
        <f>SUM(F8,N8)</f>
        <v>0</v>
      </c>
      <c r="W8" s="895"/>
      <c r="X8" s="895"/>
      <c r="Y8" s="895"/>
      <c r="Z8" s="893">
        <f>SUM(J8,R8)</f>
        <v>0</v>
      </c>
      <c r="AA8" s="893"/>
      <c r="AB8" s="893"/>
      <c r="AC8" s="894"/>
      <c r="AD8" s="56"/>
      <c r="AE8" s="55"/>
      <c r="AF8" s="56"/>
      <c r="AG8" s="56"/>
      <c r="AH8" s="110"/>
      <c r="AI8" s="57"/>
      <c r="AJ8" s="57"/>
      <c r="AK8" s="53"/>
    </row>
    <row r="9" spans="1:37" ht="12.75" customHeight="1">
      <c r="A9" s="107"/>
      <c r="B9" s="891"/>
      <c r="C9" s="892"/>
      <c r="D9" s="892"/>
      <c r="E9" s="892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7">
        <f>SUM(F9,N9)</f>
        <v>0</v>
      </c>
      <c r="W9" s="887"/>
      <c r="X9" s="887"/>
      <c r="Y9" s="887"/>
      <c r="Z9" s="888">
        <f>SUM(J9,R9)</f>
        <v>0</v>
      </c>
      <c r="AA9" s="888"/>
      <c r="AB9" s="888"/>
      <c r="AC9" s="889"/>
      <c r="AD9" s="56"/>
      <c r="AE9" s="55"/>
      <c r="AF9" s="56"/>
      <c r="AG9" s="56"/>
      <c r="AH9" s="110"/>
      <c r="AI9" s="57"/>
      <c r="AJ9" s="57"/>
      <c r="AK9" s="53"/>
    </row>
    <row r="10" spans="1:37" ht="12.75" customHeight="1">
      <c r="A10" s="107"/>
      <c r="B10" s="882" t="s">
        <v>135</v>
      </c>
      <c r="C10" s="883"/>
      <c r="D10" s="883"/>
      <c r="E10" s="883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66">
        <f>SUM(V5:Y9)</f>
        <v>139.30000000000001</v>
      </c>
      <c r="W10" s="866"/>
      <c r="X10" s="866"/>
      <c r="Y10" s="885"/>
      <c r="Z10" s="866">
        <f>SUM(Z5:AC9)</f>
        <v>139.30000000000001</v>
      </c>
      <c r="AA10" s="866"/>
      <c r="AB10" s="866"/>
      <c r="AC10" s="867"/>
      <c r="AD10" s="58">
        <f>IF(V10=AG10,0,1)</f>
        <v>1</v>
      </c>
      <c r="AE10" s="55"/>
      <c r="AF10" s="59"/>
      <c r="AG10" s="60">
        <f>SUM('[4]Página 1'!H42:J46)</f>
        <v>0</v>
      </c>
      <c r="AH10" s="110"/>
      <c r="AI10" s="56"/>
      <c r="AJ10" s="56"/>
      <c r="AK10" s="53"/>
    </row>
    <row r="11" spans="1:37">
      <c r="A11" s="107"/>
      <c r="B11" s="119"/>
      <c r="C11" s="61"/>
      <c r="D11" s="61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120"/>
      <c r="AD11" s="56"/>
      <c r="AE11" s="55"/>
      <c r="AF11" s="56"/>
      <c r="AG11" s="56"/>
      <c r="AH11" s="110"/>
      <c r="AI11" s="56"/>
      <c r="AJ11" s="56"/>
      <c r="AK11" s="53"/>
    </row>
    <row r="12" spans="1:37">
      <c r="A12" s="107"/>
      <c r="B12" s="868"/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  <c r="AA12" s="869"/>
      <c r="AB12" s="869"/>
      <c r="AC12" s="870"/>
      <c r="AD12" s="56"/>
      <c r="AE12" s="56"/>
      <c r="AF12" s="56"/>
      <c r="AG12" s="56"/>
      <c r="AH12" s="110"/>
      <c r="AI12" s="56"/>
      <c r="AJ12" s="56"/>
      <c r="AK12" s="53"/>
    </row>
    <row r="13" spans="1:37">
      <c r="A13" s="107"/>
      <c r="B13" s="868" t="s">
        <v>205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  <c r="O13" s="869"/>
      <c r="P13" s="869"/>
      <c r="Q13" s="869"/>
      <c r="R13" s="869"/>
      <c r="S13" s="869"/>
      <c r="T13" s="869"/>
      <c r="U13" s="869"/>
      <c r="V13" s="869"/>
      <c r="W13" s="869"/>
      <c r="X13" s="869"/>
      <c r="Y13" s="869"/>
      <c r="Z13" s="869"/>
      <c r="AA13" s="869"/>
      <c r="AB13" s="869"/>
      <c r="AC13" s="870"/>
      <c r="AD13" s="56"/>
      <c r="AE13" s="56"/>
      <c r="AF13" s="56"/>
      <c r="AG13" s="56"/>
      <c r="AH13" s="110"/>
      <c r="AI13" s="56"/>
      <c r="AJ13" s="56"/>
      <c r="AK13" s="53"/>
    </row>
    <row r="14" spans="1:37" ht="4.5" customHeight="1">
      <c r="A14" s="107"/>
      <c r="B14" s="121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122"/>
      <c r="AD14" s="56"/>
      <c r="AE14" s="56"/>
      <c r="AF14" s="56"/>
      <c r="AG14" s="56"/>
      <c r="AH14" s="110"/>
      <c r="AI14" s="56"/>
      <c r="AJ14" s="56"/>
      <c r="AK14" s="53"/>
    </row>
    <row r="15" spans="1:37">
      <c r="A15" s="107"/>
      <c r="B15" s="871" t="s">
        <v>155</v>
      </c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2"/>
      <c r="Z15" s="872"/>
      <c r="AA15" s="872"/>
      <c r="AB15" s="872"/>
      <c r="AC15" s="873"/>
      <c r="AD15" s="52"/>
      <c r="AE15" s="56"/>
      <c r="AF15" s="56"/>
      <c r="AG15" s="56"/>
      <c r="AH15" s="110"/>
      <c r="AI15" s="56"/>
      <c r="AJ15" s="56"/>
      <c r="AK15" s="53"/>
    </row>
    <row r="16" spans="1:37">
      <c r="A16" s="107"/>
      <c r="B16" s="874" t="s">
        <v>31</v>
      </c>
      <c r="C16" s="875"/>
      <c r="D16" s="875"/>
      <c r="E16" s="875"/>
      <c r="F16" s="876"/>
      <c r="G16" s="877" t="s">
        <v>136</v>
      </c>
      <c r="H16" s="878"/>
      <c r="I16" s="879"/>
      <c r="J16" s="879"/>
      <c r="K16" s="879"/>
      <c r="L16" s="879"/>
      <c r="M16" s="879"/>
      <c r="N16" s="102" t="s">
        <v>72</v>
      </c>
      <c r="O16" s="879"/>
      <c r="P16" s="879"/>
      <c r="Q16" s="879"/>
      <c r="R16" s="879"/>
      <c r="S16" s="879"/>
      <c r="T16" s="877" t="s">
        <v>137</v>
      </c>
      <c r="U16" s="877"/>
      <c r="V16" s="102" t="s">
        <v>138</v>
      </c>
      <c r="W16" s="102" t="s">
        <v>136</v>
      </c>
      <c r="X16" s="880">
        <f>I16*O16</f>
        <v>0</v>
      </c>
      <c r="Y16" s="880"/>
      <c r="Z16" s="880"/>
      <c r="AA16" s="880"/>
      <c r="AB16" s="880"/>
      <c r="AC16" s="881"/>
      <c r="AD16" s="52"/>
      <c r="AE16" s="56"/>
      <c r="AF16" s="56"/>
      <c r="AG16" s="56"/>
      <c r="AH16" s="110"/>
      <c r="AI16" s="56"/>
      <c r="AJ16" s="56"/>
      <c r="AK16" s="53"/>
    </row>
    <row r="17" spans="1:38">
      <c r="A17" s="107"/>
      <c r="B17" s="860" t="s">
        <v>390</v>
      </c>
      <c r="C17" s="861"/>
      <c r="D17" s="861"/>
      <c r="E17" s="861"/>
      <c r="F17" s="862"/>
      <c r="G17" s="852" t="s">
        <v>136</v>
      </c>
      <c r="H17" s="863"/>
      <c r="I17" s="864">
        <f>CÁLCULO!O24</f>
        <v>2104.2434609700776</v>
      </c>
      <c r="J17" s="864"/>
      <c r="K17" s="864"/>
      <c r="L17" s="864"/>
      <c r="M17" s="864"/>
      <c r="N17" s="103" t="s">
        <v>72</v>
      </c>
      <c r="O17" s="865">
        <f>Z10</f>
        <v>139.30000000000001</v>
      </c>
      <c r="P17" s="865"/>
      <c r="Q17" s="865"/>
      <c r="R17" s="865"/>
      <c r="S17" s="865"/>
      <c r="T17" s="852" t="s">
        <v>137</v>
      </c>
      <c r="U17" s="852"/>
      <c r="V17" s="103" t="s">
        <v>138</v>
      </c>
      <c r="W17" s="103" t="s">
        <v>136</v>
      </c>
      <c r="X17" s="853">
        <f>I17*O17</f>
        <v>293121.11411313183</v>
      </c>
      <c r="Y17" s="853"/>
      <c r="Z17" s="853"/>
      <c r="AA17" s="853"/>
      <c r="AB17" s="853"/>
      <c r="AC17" s="854"/>
      <c r="AD17" s="52"/>
      <c r="AE17" s="56"/>
      <c r="AF17" s="56"/>
      <c r="AG17" s="56"/>
      <c r="AH17" s="110"/>
      <c r="AI17" s="56"/>
      <c r="AJ17" s="56"/>
      <c r="AK17" s="53"/>
    </row>
    <row r="18" spans="1:38">
      <c r="A18" s="107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855" t="s">
        <v>67</v>
      </c>
      <c r="T18" s="856"/>
      <c r="U18" s="856"/>
      <c r="V18" s="857"/>
      <c r="W18" s="125" t="s">
        <v>136</v>
      </c>
      <c r="X18" s="858">
        <f>ROUND(SUM(X16:AC17),-3)</f>
        <v>293000</v>
      </c>
      <c r="Y18" s="858"/>
      <c r="Z18" s="858"/>
      <c r="AA18" s="858"/>
      <c r="AB18" s="858"/>
      <c r="AC18" s="859"/>
      <c r="AD18" s="52"/>
      <c r="AE18" s="56"/>
      <c r="AF18" s="56"/>
      <c r="AG18" s="56"/>
      <c r="AH18" s="110"/>
      <c r="AI18" s="56"/>
      <c r="AJ18" s="56"/>
      <c r="AK18" s="53"/>
    </row>
    <row r="19" spans="1:38" ht="6.75" customHeight="1">
      <c r="A19" s="107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52"/>
      <c r="AE19" s="52"/>
      <c r="AF19" s="52"/>
      <c r="AG19" s="52"/>
      <c r="AH19" s="111"/>
      <c r="AI19" s="52"/>
      <c r="AJ19" s="52"/>
    </row>
    <row r="20" spans="1:38">
      <c r="A20" s="107"/>
      <c r="B20" s="844" t="s">
        <v>169</v>
      </c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6"/>
      <c r="AD20" s="52"/>
      <c r="AE20" s="52"/>
      <c r="AF20" s="52"/>
      <c r="AG20" s="52"/>
      <c r="AH20" s="111"/>
      <c r="AI20" s="52"/>
      <c r="AJ20" s="52"/>
      <c r="AK20" s="52"/>
      <c r="AL20" s="52"/>
    </row>
    <row r="21" spans="1:38">
      <c r="A21" s="107"/>
      <c r="B21" s="847" t="s">
        <v>42</v>
      </c>
      <c r="C21" s="848"/>
      <c r="D21" s="848"/>
      <c r="E21" s="848"/>
      <c r="F21" s="848"/>
      <c r="G21" s="848"/>
      <c r="H21" s="849">
        <v>41472</v>
      </c>
      <c r="I21" s="849"/>
      <c r="J21" s="849"/>
      <c r="K21" s="849"/>
      <c r="L21" s="849"/>
      <c r="M21" s="849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850" t="s">
        <v>170</v>
      </c>
      <c r="AC21" s="851"/>
      <c r="AD21" s="52"/>
      <c r="AE21" s="52"/>
      <c r="AF21" s="52"/>
      <c r="AG21" s="52"/>
      <c r="AH21" s="111"/>
      <c r="AI21" s="52"/>
      <c r="AJ21" s="52"/>
      <c r="AK21" s="52"/>
      <c r="AL21" s="52"/>
    </row>
    <row r="22" spans="1:38">
      <c r="A22" s="107"/>
      <c r="B22" s="126">
        <v>1</v>
      </c>
      <c r="C22" s="841" t="s">
        <v>38</v>
      </c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1"/>
      <c r="Z22" s="841"/>
      <c r="AA22" s="841"/>
      <c r="AB22" s="842"/>
      <c r="AC22" s="843"/>
      <c r="AD22" s="52"/>
      <c r="AE22" s="52">
        <f t="shared" ref="AE22:AE30" si="0">IF(AB22="x",10,0)</f>
        <v>0</v>
      </c>
      <c r="AF22" s="52"/>
      <c r="AG22" s="64" t="e">
        <f>SUM('[4]Página 2'!AD65:AF67,[4]Pesquisa!X1:X64,'[4]Página 1'!K4,AE22:AE34,'[4]Página 1'!P11:Q11)</f>
        <v>#DIV/0!</v>
      </c>
      <c r="AH22" s="111"/>
      <c r="AI22" s="52"/>
      <c r="AJ22" s="52"/>
      <c r="AK22" s="52"/>
      <c r="AL22" s="52"/>
    </row>
    <row r="23" spans="1:38">
      <c r="A23" s="107"/>
      <c r="B23" s="126">
        <v>2</v>
      </c>
      <c r="C23" s="841" t="s">
        <v>37</v>
      </c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1"/>
      <c r="Z23" s="841"/>
      <c r="AA23" s="841"/>
      <c r="AB23" s="842"/>
      <c r="AC23" s="843"/>
      <c r="AD23" s="52"/>
      <c r="AE23" s="52">
        <f t="shared" si="0"/>
        <v>0</v>
      </c>
      <c r="AF23" s="52"/>
      <c r="AG23" s="65"/>
      <c r="AH23" s="112"/>
      <c r="AI23" s="52"/>
      <c r="AJ23" s="52"/>
      <c r="AK23" s="52"/>
      <c r="AL23" s="52"/>
    </row>
    <row r="24" spans="1:38">
      <c r="A24" s="107"/>
      <c r="B24" s="126">
        <v>3</v>
      </c>
      <c r="C24" s="841" t="s">
        <v>39</v>
      </c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1"/>
      <c r="Y24" s="841"/>
      <c r="Z24" s="841"/>
      <c r="AA24" s="841"/>
      <c r="AB24" s="842"/>
      <c r="AC24" s="843"/>
      <c r="AD24" s="52"/>
      <c r="AE24" s="52">
        <f t="shared" si="0"/>
        <v>0</v>
      </c>
      <c r="AF24" s="52"/>
      <c r="AG24" s="52"/>
      <c r="AH24" s="111"/>
      <c r="AI24" s="52"/>
      <c r="AJ24" s="52"/>
      <c r="AK24" s="52"/>
      <c r="AL24" s="52"/>
    </row>
    <row r="25" spans="1:38">
      <c r="A25" s="107"/>
      <c r="B25" s="126">
        <v>4</v>
      </c>
      <c r="C25" s="841" t="s">
        <v>40</v>
      </c>
      <c r="D25" s="841"/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  <c r="V25" s="841"/>
      <c r="W25" s="841"/>
      <c r="X25" s="841"/>
      <c r="Y25" s="841"/>
      <c r="Z25" s="841"/>
      <c r="AA25" s="841"/>
      <c r="AB25" s="842"/>
      <c r="AC25" s="843"/>
      <c r="AD25" s="52"/>
      <c r="AE25" s="52">
        <f t="shared" si="0"/>
        <v>0</v>
      </c>
      <c r="AF25" s="52"/>
      <c r="AG25" s="52"/>
      <c r="AH25" s="111"/>
      <c r="AI25" s="52"/>
      <c r="AJ25" s="52"/>
      <c r="AK25" s="52"/>
      <c r="AL25" s="52"/>
    </row>
    <row r="26" spans="1:38">
      <c r="A26" s="107"/>
      <c r="B26" s="126">
        <v>5</v>
      </c>
      <c r="C26" s="841" t="s">
        <v>41</v>
      </c>
      <c r="D26" s="841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841"/>
      <c r="AA26" s="841"/>
      <c r="AB26" s="842"/>
      <c r="AC26" s="843"/>
      <c r="AD26" s="52"/>
      <c r="AE26" s="52">
        <f t="shared" si="0"/>
        <v>0</v>
      </c>
      <c r="AF26" s="52"/>
      <c r="AG26" s="52"/>
      <c r="AH26" s="111"/>
      <c r="AI26" s="52"/>
      <c r="AJ26" s="52"/>
      <c r="AK26" s="52"/>
      <c r="AL26" s="52"/>
    </row>
    <row r="27" spans="1:38">
      <c r="A27" s="107"/>
      <c r="B27" s="126">
        <v>6</v>
      </c>
      <c r="C27" s="841" t="s">
        <v>89</v>
      </c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  <c r="T27" s="841"/>
      <c r="U27" s="841"/>
      <c r="V27" s="841"/>
      <c r="W27" s="841"/>
      <c r="X27" s="841"/>
      <c r="Y27" s="841"/>
      <c r="Z27" s="841"/>
      <c r="AA27" s="841"/>
      <c r="AB27" s="842"/>
      <c r="AC27" s="843"/>
      <c r="AD27" s="52"/>
      <c r="AE27" s="52">
        <f t="shared" si="0"/>
        <v>0</v>
      </c>
      <c r="AF27" s="52"/>
      <c r="AG27" s="52"/>
      <c r="AH27" s="111"/>
      <c r="AI27" s="52"/>
      <c r="AJ27" s="52"/>
      <c r="AK27" s="52"/>
      <c r="AL27" s="52"/>
    </row>
    <row r="28" spans="1:38">
      <c r="A28" s="107"/>
      <c r="B28" s="126">
        <v>7</v>
      </c>
      <c r="C28" s="841" t="s">
        <v>92</v>
      </c>
      <c r="D28" s="841"/>
      <c r="E28" s="841"/>
      <c r="F28" s="841"/>
      <c r="G28" s="841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  <c r="T28" s="841"/>
      <c r="U28" s="841"/>
      <c r="V28" s="841"/>
      <c r="W28" s="841"/>
      <c r="X28" s="841"/>
      <c r="Y28" s="841"/>
      <c r="Z28" s="841"/>
      <c r="AA28" s="841"/>
      <c r="AB28" s="842"/>
      <c r="AC28" s="843"/>
      <c r="AD28" s="52"/>
      <c r="AE28" s="52">
        <f t="shared" si="0"/>
        <v>0</v>
      </c>
      <c r="AF28" s="52"/>
      <c r="AG28" s="52"/>
      <c r="AH28" s="111"/>
      <c r="AI28" s="52"/>
      <c r="AJ28" s="52"/>
      <c r="AK28" s="52"/>
      <c r="AL28" s="52"/>
    </row>
    <row r="29" spans="1:38">
      <c r="A29" s="107"/>
      <c r="B29" s="126">
        <v>8</v>
      </c>
      <c r="C29" s="841" t="s">
        <v>164</v>
      </c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1"/>
      <c r="W29" s="841"/>
      <c r="X29" s="841"/>
      <c r="Y29" s="841"/>
      <c r="Z29" s="841"/>
      <c r="AA29" s="841"/>
      <c r="AB29" s="842"/>
      <c r="AC29" s="843"/>
      <c r="AD29" s="52"/>
      <c r="AE29" s="52">
        <f t="shared" si="0"/>
        <v>0</v>
      </c>
      <c r="AF29" s="52"/>
      <c r="AG29" s="52"/>
      <c r="AH29" s="111"/>
      <c r="AI29" s="52"/>
      <c r="AJ29" s="52"/>
      <c r="AK29" s="52"/>
      <c r="AL29" s="52"/>
    </row>
    <row r="30" spans="1:38">
      <c r="A30" s="107"/>
      <c r="B30" s="126">
        <v>9</v>
      </c>
      <c r="C30" s="841" t="s">
        <v>90</v>
      </c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  <c r="AB30" s="842"/>
      <c r="AC30" s="843"/>
      <c r="AD30" s="52"/>
      <c r="AE30" s="52">
        <f t="shared" si="0"/>
        <v>0</v>
      </c>
      <c r="AF30" s="52"/>
      <c r="AG30" s="52"/>
      <c r="AH30" s="111"/>
      <c r="AI30" s="52"/>
      <c r="AJ30" s="52"/>
      <c r="AK30" s="52"/>
      <c r="AL30" s="52"/>
    </row>
    <row r="31" spans="1:38">
      <c r="A31" s="107"/>
      <c r="B31" s="126">
        <v>10</v>
      </c>
      <c r="C31" s="841" t="s">
        <v>91</v>
      </c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  <c r="AB31" s="842"/>
      <c r="AC31" s="843"/>
      <c r="AD31" s="52"/>
      <c r="AE31" s="52">
        <f>IF(AB31="x",10000,0)</f>
        <v>0</v>
      </c>
      <c r="AF31" s="52"/>
      <c r="AG31" s="52"/>
      <c r="AH31" s="111"/>
      <c r="AI31" s="52"/>
      <c r="AJ31" s="52"/>
      <c r="AK31" s="52"/>
      <c r="AL31" s="52"/>
    </row>
    <row r="32" spans="1:38">
      <c r="A32" s="107"/>
      <c r="B32" s="126">
        <v>11</v>
      </c>
      <c r="C32" s="841" t="s">
        <v>43</v>
      </c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1"/>
      <c r="Z32" s="841"/>
      <c r="AA32" s="841"/>
      <c r="AB32" s="842"/>
      <c r="AC32" s="843"/>
      <c r="AD32" s="52"/>
      <c r="AE32" s="52">
        <f>IF(AB32="x",10000,0)</f>
        <v>0</v>
      </c>
      <c r="AF32" s="52"/>
      <c r="AG32" s="52"/>
      <c r="AH32" s="111"/>
      <c r="AI32" s="52"/>
      <c r="AJ32" s="52"/>
      <c r="AK32" s="52"/>
      <c r="AL32" s="52"/>
    </row>
    <row r="33" spans="1:38">
      <c r="A33" s="107"/>
      <c r="B33" s="126">
        <v>12</v>
      </c>
      <c r="C33" s="841" t="s">
        <v>93</v>
      </c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  <c r="AB33" s="842"/>
      <c r="AC33" s="843"/>
      <c r="AD33" s="52"/>
      <c r="AE33" s="52">
        <f>IF(AB33="x",10000,0)</f>
        <v>0</v>
      </c>
      <c r="AF33" s="52"/>
      <c r="AG33" s="52"/>
      <c r="AH33" s="111"/>
      <c r="AI33" s="52"/>
      <c r="AJ33" s="52"/>
      <c r="AK33" s="52"/>
      <c r="AL33" s="52"/>
    </row>
    <row r="34" spans="1:38">
      <c r="A34" s="107"/>
      <c r="B34" s="129">
        <v>13</v>
      </c>
      <c r="C34" s="829" t="s">
        <v>94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829"/>
      <c r="Y34" s="829"/>
      <c r="Z34" s="829"/>
      <c r="AA34" s="829"/>
      <c r="AB34" s="830"/>
      <c r="AC34" s="831"/>
      <c r="AD34" s="52"/>
      <c r="AE34" s="52">
        <f>IF(AB34="x",10000,0)</f>
        <v>0</v>
      </c>
      <c r="AF34" s="52"/>
      <c r="AG34" s="52"/>
      <c r="AH34" s="111"/>
      <c r="AI34" s="52"/>
      <c r="AJ34" s="52"/>
      <c r="AK34" s="52"/>
      <c r="AL34" s="52"/>
    </row>
    <row r="35" spans="1:38">
      <c r="A35" s="107"/>
      <c r="B35" s="129">
        <v>14</v>
      </c>
      <c r="C35" s="829" t="s">
        <v>274</v>
      </c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9"/>
      <c r="Y35" s="829"/>
      <c r="Z35" s="829"/>
      <c r="AA35" s="829"/>
      <c r="AB35" s="830"/>
      <c r="AC35" s="831"/>
      <c r="AD35" s="52"/>
      <c r="AE35" s="52"/>
      <c r="AF35" s="52"/>
      <c r="AG35" s="52"/>
      <c r="AH35" s="111"/>
      <c r="AI35" s="52"/>
      <c r="AJ35" s="52"/>
      <c r="AK35" s="52"/>
      <c r="AL35" s="52"/>
    </row>
    <row r="36" spans="1:38">
      <c r="A36" s="107"/>
      <c r="B36" s="129">
        <v>15</v>
      </c>
      <c r="C36" s="829" t="s">
        <v>275</v>
      </c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30"/>
      <c r="AC36" s="831"/>
      <c r="AD36" s="52"/>
      <c r="AE36" s="52"/>
      <c r="AF36" s="52"/>
      <c r="AG36" s="52"/>
      <c r="AH36" s="111"/>
      <c r="AI36" s="52"/>
      <c r="AJ36" s="52"/>
      <c r="AK36" s="52"/>
      <c r="AL36" s="52"/>
    </row>
    <row r="37" spans="1:38" ht="4.5" customHeight="1">
      <c r="A37" s="107"/>
      <c r="B37" s="13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2"/>
      <c r="AD37" s="52"/>
      <c r="AE37" s="52"/>
      <c r="AF37" s="52"/>
      <c r="AG37" s="52"/>
      <c r="AH37" s="111"/>
      <c r="AI37" s="52"/>
      <c r="AJ37" s="52"/>
      <c r="AK37" s="52"/>
      <c r="AL37" s="52"/>
    </row>
    <row r="38" spans="1:38" ht="18" customHeight="1">
      <c r="A38" s="107"/>
      <c r="B38" s="832" t="s">
        <v>156</v>
      </c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3"/>
      <c r="P38" s="833"/>
      <c r="Q38" s="833"/>
      <c r="R38" s="833"/>
      <c r="S38" s="833"/>
      <c r="T38" s="833"/>
      <c r="U38" s="833"/>
      <c r="V38" s="833"/>
      <c r="W38" s="833"/>
      <c r="X38" s="833"/>
      <c r="Y38" s="833"/>
      <c r="Z38" s="833"/>
      <c r="AA38" s="833"/>
      <c r="AB38" s="833"/>
      <c r="AC38" s="834"/>
      <c r="AD38" s="52"/>
      <c r="AE38" s="52"/>
      <c r="AF38" s="52"/>
      <c r="AG38" s="52"/>
      <c r="AH38" s="111"/>
      <c r="AI38" s="52"/>
      <c r="AJ38" s="52"/>
      <c r="AK38" s="52"/>
      <c r="AL38" s="52"/>
    </row>
    <row r="39" spans="1:38" ht="12.95" customHeight="1" thickBot="1">
      <c r="A39" s="107"/>
      <c r="B39" s="835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6"/>
      <c r="AC39" s="837"/>
      <c r="AD39" s="52"/>
      <c r="AE39" s="52"/>
      <c r="AF39" s="52"/>
      <c r="AG39" s="52"/>
      <c r="AH39" s="111"/>
      <c r="AI39" s="52"/>
      <c r="AJ39" s="52"/>
      <c r="AK39" s="52"/>
      <c r="AL39" s="52"/>
    </row>
    <row r="40" spans="1:38" ht="13.5" thickBot="1">
      <c r="A40" s="107"/>
      <c r="B40" s="838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40"/>
      <c r="AD40" s="52"/>
      <c r="AE40" s="52"/>
      <c r="AF40" s="52"/>
      <c r="AG40" s="52"/>
      <c r="AH40" s="111"/>
      <c r="AI40" s="52"/>
      <c r="AJ40" s="52"/>
      <c r="AK40" s="52"/>
      <c r="AL40" s="52"/>
    </row>
    <row r="41" spans="1:38" ht="13.5" thickBot="1">
      <c r="A41" s="107"/>
      <c r="B41" s="838"/>
      <c r="C41" s="839"/>
      <c r="D41" s="839"/>
      <c r="E41" s="839"/>
      <c r="F41" s="839"/>
      <c r="G41" s="839"/>
      <c r="H41" s="839"/>
      <c r="I41" s="839"/>
      <c r="J41" s="839"/>
      <c r="K41" s="839"/>
      <c r="L41" s="839"/>
      <c r="M41" s="839"/>
      <c r="N41" s="839"/>
      <c r="O41" s="839"/>
      <c r="P41" s="839"/>
      <c r="Q41" s="839"/>
      <c r="R41" s="839"/>
      <c r="S41" s="839"/>
      <c r="T41" s="839"/>
      <c r="U41" s="839"/>
      <c r="V41" s="839"/>
      <c r="W41" s="839"/>
      <c r="X41" s="839"/>
      <c r="Y41" s="839"/>
      <c r="Z41" s="839"/>
      <c r="AA41" s="839"/>
      <c r="AB41" s="839"/>
      <c r="AC41" s="840"/>
      <c r="AD41" s="52"/>
      <c r="AE41" s="52"/>
      <c r="AF41" s="52"/>
      <c r="AG41" s="52"/>
      <c r="AH41" s="111"/>
      <c r="AI41" s="52"/>
      <c r="AJ41" s="52"/>
      <c r="AK41" s="52"/>
      <c r="AL41" s="52"/>
    </row>
    <row r="42" spans="1:38" ht="13.5" thickBot="1">
      <c r="A42" s="107"/>
      <c r="B42" s="838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  <c r="O42" s="839"/>
      <c r="P42" s="839"/>
      <c r="Q42" s="839"/>
      <c r="R42" s="839"/>
      <c r="S42" s="839"/>
      <c r="T42" s="839"/>
      <c r="U42" s="839"/>
      <c r="V42" s="839"/>
      <c r="W42" s="839"/>
      <c r="X42" s="839"/>
      <c r="Y42" s="839"/>
      <c r="Z42" s="839"/>
      <c r="AA42" s="839"/>
      <c r="AB42" s="839"/>
      <c r="AC42" s="840"/>
      <c r="AD42" s="52"/>
      <c r="AE42" s="52"/>
      <c r="AF42" s="52"/>
      <c r="AG42" s="52"/>
      <c r="AH42" s="111"/>
      <c r="AI42" s="52"/>
      <c r="AJ42" s="52"/>
      <c r="AK42" s="52"/>
      <c r="AL42" s="52"/>
    </row>
    <row r="43" spans="1:38" ht="13.5" thickBot="1">
      <c r="A43" s="107"/>
      <c r="B43" s="838"/>
      <c r="C43" s="839"/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839"/>
      <c r="U43" s="839"/>
      <c r="V43" s="839"/>
      <c r="W43" s="839"/>
      <c r="X43" s="839"/>
      <c r="Y43" s="839"/>
      <c r="Z43" s="839"/>
      <c r="AA43" s="839"/>
      <c r="AB43" s="839"/>
      <c r="AC43" s="840"/>
      <c r="AD43" s="52"/>
      <c r="AE43" s="52"/>
      <c r="AF43" s="52"/>
      <c r="AG43" s="52"/>
      <c r="AH43" s="111"/>
      <c r="AI43" s="52"/>
      <c r="AJ43" s="52"/>
      <c r="AK43" s="52"/>
      <c r="AL43" s="52"/>
    </row>
    <row r="44" spans="1:38" ht="13.5" thickBot="1">
      <c r="A44" s="107"/>
      <c r="B44" s="838"/>
      <c r="C44" s="839"/>
      <c r="D44" s="839"/>
      <c r="E44" s="839"/>
      <c r="F44" s="839"/>
      <c r="G44" s="839"/>
      <c r="H44" s="839"/>
      <c r="I44" s="839"/>
      <c r="J44" s="839"/>
      <c r="K44" s="839"/>
      <c r="L44" s="839"/>
      <c r="M44" s="839"/>
      <c r="N44" s="839"/>
      <c r="O44" s="839"/>
      <c r="P44" s="839"/>
      <c r="Q44" s="839"/>
      <c r="R44" s="839"/>
      <c r="S44" s="839"/>
      <c r="T44" s="839"/>
      <c r="U44" s="839"/>
      <c r="V44" s="839"/>
      <c r="W44" s="839"/>
      <c r="X44" s="839"/>
      <c r="Y44" s="839"/>
      <c r="Z44" s="839"/>
      <c r="AA44" s="839"/>
      <c r="AB44" s="839"/>
      <c r="AC44" s="840"/>
      <c r="AD44" s="52"/>
      <c r="AE44" s="52"/>
      <c r="AF44" s="52"/>
      <c r="AG44" s="52"/>
      <c r="AH44" s="111"/>
      <c r="AI44" s="52"/>
      <c r="AJ44" s="52"/>
      <c r="AK44" s="52"/>
      <c r="AL44" s="52"/>
    </row>
    <row r="45" spans="1:38" ht="13.5" thickBot="1">
      <c r="A45" s="107"/>
      <c r="B45" s="838"/>
      <c r="C45" s="839"/>
      <c r="D45" s="839"/>
      <c r="E45" s="839"/>
      <c r="F45" s="839"/>
      <c r="G45" s="839"/>
      <c r="H45" s="839"/>
      <c r="I45" s="839"/>
      <c r="J45" s="839"/>
      <c r="K45" s="839"/>
      <c r="L45" s="839"/>
      <c r="M45" s="839"/>
      <c r="N45" s="839"/>
      <c r="O45" s="839"/>
      <c r="P45" s="839"/>
      <c r="Q45" s="839"/>
      <c r="R45" s="839"/>
      <c r="S45" s="839"/>
      <c r="T45" s="839"/>
      <c r="U45" s="839"/>
      <c r="V45" s="839"/>
      <c r="W45" s="839"/>
      <c r="X45" s="839"/>
      <c r="Y45" s="839"/>
      <c r="Z45" s="839"/>
      <c r="AA45" s="839"/>
      <c r="AB45" s="839"/>
      <c r="AC45" s="840"/>
      <c r="AD45" s="52"/>
      <c r="AE45" s="52"/>
      <c r="AF45" s="52"/>
      <c r="AG45" s="52"/>
      <c r="AH45" s="111"/>
      <c r="AI45" s="52"/>
      <c r="AJ45" s="52"/>
      <c r="AK45" s="52"/>
      <c r="AL45" s="52"/>
    </row>
    <row r="46" spans="1:38" ht="13.5" thickBot="1">
      <c r="A46" s="107"/>
      <c r="B46" s="838"/>
      <c r="C46" s="839"/>
      <c r="D46" s="839"/>
      <c r="E46" s="839"/>
      <c r="F46" s="839"/>
      <c r="G46" s="839"/>
      <c r="H46" s="839"/>
      <c r="I46" s="839"/>
      <c r="J46" s="839"/>
      <c r="K46" s="839"/>
      <c r="L46" s="839"/>
      <c r="M46" s="839"/>
      <c r="N46" s="839"/>
      <c r="O46" s="839"/>
      <c r="P46" s="839"/>
      <c r="Q46" s="839"/>
      <c r="R46" s="839"/>
      <c r="S46" s="839"/>
      <c r="T46" s="839"/>
      <c r="U46" s="839"/>
      <c r="V46" s="839"/>
      <c r="W46" s="839"/>
      <c r="X46" s="839"/>
      <c r="Y46" s="839"/>
      <c r="Z46" s="839"/>
      <c r="AA46" s="839"/>
      <c r="AB46" s="839"/>
      <c r="AC46" s="840"/>
      <c r="AD46" s="52"/>
      <c r="AE46" s="52"/>
      <c r="AF46" s="52"/>
      <c r="AG46" s="52"/>
      <c r="AH46" s="111"/>
      <c r="AI46" s="52"/>
      <c r="AJ46" s="52"/>
      <c r="AK46" s="52"/>
      <c r="AL46" s="52"/>
    </row>
    <row r="47" spans="1:38" ht="13.5" thickBot="1">
      <c r="A47" s="107"/>
      <c r="B47" s="838"/>
      <c r="C47" s="839"/>
      <c r="D47" s="839"/>
      <c r="E47" s="839"/>
      <c r="F47" s="839"/>
      <c r="G47" s="839"/>
      <c r="H47" s="839"/>
      <c r="I47" s="839"/>
      <c r="J47" s="839"/>
      <c r="K47" s="839"/>
      <c r="L47" s="839"/>
      <c r="M47" s="839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39"/>
      <c r="Z47" s="839"/>
      <c r="AA47" s="839"/>
      <c r="AB47" s="839"/>
      <c r="AC47" s="840"/>
      <c r="AD47" s="52"/>
      <c r="AE47" s="52"/>
      <c r="AF47" s="52"/>
      <c r="AG47" s="52"/>
      <c r="AH47" s="111"/>
      <c r="AI47" s="52"/>
      <c r="AJ47" s="52"/>
      <c r="AK47" s="52"/>
      <c r="AL47" s="52"/>
    </row>
    <row r="48" spans="1:38">
      <c r="A48" s="107"/>
      <c r="B48" s="838"/>
      <c r="C48" s="839"/>
      <c r="D48" s="839"/>
      <c r="E48" s="839"/>
      <c r="F48" s="839"/>
      <c r="G48" s="839"/>
      <c r="H48" s="839"/>
      <c r="I48" s="839"/>
      <c r="J48" s="839"/>
      <c r="K48" s="839"/>
      <c r="L48" s="839"/>
      <c r="M48" s="839"/>
      <c r="N48" s="839"/>
      <c r="O48" s="839"/>
      <c r="P48" s="839"/>
      <c r="Q48" s="839"/>
      <c r="R48" s="839"/>
      <c r="S48" s="839"/>
      <c r="T48" s="839"/>
      <c r="U48" s="839"/>
      <c r="V48" s="839"/>
      <c r="W48" s="839"/>
      <c r="X48" s="839"/>
      <c r="Y48" s="839"/>
      <c r="Z48" s="839"/>
      <c r="AA48" s="839"/>
      <c r="AB48" s="839"/>
      <c r="AC48" s="840"/>
      <c r="AD48" s="52"/>
      <c r="AE48" s="52"/>
      <c r="AF48" s="52"/>
      <c r="AG48" s="52"/>
      <c r="AH48" s="111"/>
      <c r="AI48" s="52"/>
      <c r="AJ48" s="52"/>
      <c r="AK48" s="52"/>
      <c r="AL48" s="52"/>
    </row>
    <row r="49" spans="1:38">
      <c r="A49" s="107"/>
      <c r="B49" s="127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128"/>
      <c r="AD49" s="52"/>
      <c r="AE49" s="52"/>
      <c r="AF49" s="52"/>
      <c r="AG49" s="52"/>
      <c r="AH49" s="111"/>
      <c r="AI49" s="52"/>
      <c r="AJ49" s="52"/>
      <c r="AK49" s="52"/>
      <c r="AL49" s="52"/>
    </row>
    <row r="50" spans="1:38">
      <c r="A50" s="107"/>
      <c r="B50" s="127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128"/>
      <c r="AD50" s="52"/>
      <c r="AE50" s="52"/>
      <c r="AF50" s="52"/>
      <c r="AG50" s="52"/>
      <c r="AH50" s="111"/>
      <c r="AI50" s="52"/>
      <c r="AJ50" s="52"/>
      <c r="AK50" s="52"/>
      <c r="AL50" s="52"/>
    </row>
    <row r="51" spans="1:38">
      <c r="A51" s="107"/>
      <c r="B51" s="127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128"/>
      <c r="AD51" s="52"/>
      <c r="AE51" s="52"/>
      <c r="AF51" s="52"/>
      <c r="AG51" s="52"/>
      <c r="AH51" s="111"/>
      <c r="AI51" s="52"/>
      <c r="AJ51" s="52"/>
      <c r="AK51" s="52"/>
      <c r="AL51" s="52"/>
    </row>
    <row r="52" spans="1:38">
      <c r="A52" s="107"/>
      <c r="B52" s="12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128"/>
      <c r="AD52" s="52"/>
      <c r="AE52" s="52"/>
      <c r="AF52" s="52"/>
      <c r="AG52" s="52"/>
      <c r="AH52" s="111"/>
      <c r="AI52" s="52"/>
      <c r="AJ52" s="52"/>
      <c r="AK52" s="52"/>
      <c r="AL52" s="52"/>
    </row>
    <row r="53" spans="1:38">
      <c r="A53" s="107"/>
      <c r="B53" s="127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128"/>
      <c r="AD53" s="52"/>
      <c r="AE53" s="52"/>
      <c r="AF53" s="52"/>
      <c r="AG53" s="52"/>
      <c r="AH53" s="111"/>
      <c r="AI53" s="52"/>
      <c r="AJ53" s="52"/>
      <c r="AK53" s="52"/>
      <c r="AL53" s="52"/>
    </row>
    <row r="54" spans="1:38">
      <c r="A54" s="107"/>
      <c r="B54" s="127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128"/>
      <c r="AD54" s="52"/>
      <c r="AE54" s="52"/>
      <c r="AF54" s="52"/>
      <c r="AG54" s="52"/>
      <c r="AH54" s="111"/>
      <c r="AI54" s="52"/>
      <c r="AJ54" s="52"/>
      <c r="AK54" s="52"/>
      <c r="AL54" s="52"/>
    </row>
    <row r="55" spans="1:38">
      <c r="A55" s="107"/>
      <c r="B55" s="127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128"/>
      <c r="AD55" s="52"/>
      <c r="AE55" s="52"/>
      <c r="AF55" s="52"/>
      <c r="AG55" s="52"/>
      <c r="AH55" s="111"/>
      <c r="AI55" s="52"/>
      <c r="AJ55" s="52"/>
      <c r="AK55" s="52"/>
      <c r="AL55" s="52"/>
    </row>
    <row r="56" spans="1:38">
      <c r="A56" s="107"/>
      <c r="B56" s="12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128"/>
      <c r="AD56" s="52"/>
      <c r="AE56" s="52"/>
      <c r="AF56" s="52"/>
      <c r="AG56" s="52"/>
      <c r="AH56" s="111"/>
      <c r="AI56" s="52"/>
      <c r="AJ56" s="52"/>
      <c r="AK56" s="52"/>
      <c r="AL56" s="52"/>
    </row>
    <row r="57" spans="1:38">
      <c r="A57" s="107"/>
      <c r="B57" s="127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128"/>
      <c r="AD57" s="52"/>
      <c r="AE57" s="52"/>
      <c r="AF57" s="52"/>
      <c r="AG57" s="52"/>
      <c r="AH57" s="111"/>
      <c r="AI57" s="52"/>
      <c r="AJ57" s="52"/>
      <c r="AK57" s="52"/>
      <c r="AL57" s="52"/>
    </row>
    <row r="58" spans="1:38">
      <c r="A58" s="107"/>
      <c r="B58" s="127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128"/>
      <c r="AD58" s="52"/>
      <c r="AE58" s="52"/>
      <c r="AF58" s="52"/>
      <c r="AG58" s="52"/>
      <c r="AH58" s="111"/>
      <c r="AI58" s="67"/>
      <c r="AJ58" s="67"/>
      <c r="AK58" s="67"/>
      <c r="AL58" s="67"/>
    </row>
    <row r="59" spans="1:38">
      <c r="A59" s="107"/>
      <c r="B59" s="12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128"/>
      <c r="AD59" s="113"/>
      <c r="AE59" s="113"/>
      <c r="AF59" s="113"/>
      <c r="AG59" s="113"/>
      <c r="AH59" s="114"/>
    </row>
    <row r="60" spans="1:38">
      <c r="A60" s="107"/>
      <c r="B60" s="127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128"/>
      <c r="AD60" s="113"/>
      <c r="AE60" s="113"/>
      <c r="AF60" s="113"/>
      <c r="AG60" s="113"/>
      <c r="AH60" s="114"/>
    </row>
    <row r="61" spans="1:38">
      <c r="A61" s="107"/>
      <c r="B61" s="127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128"/>
      <c r="AD61" s="113"/>
      <c r="AE61" s="113"/>
      <c r="AF61" s="113"/>
      <c r="AG61" s="113"/>
      <c r="AH61" s="114"/>
    </row>
    <row r="62" spans="1:38">
      <c r="A62" s="107"/>
      <c r="B62" s="127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128"/>
      <c r="AD62" s="113"/>
      <c r="AE62" s="113"/>
      <c r="AF62" s="113"/>
      <c r="AG62" s="113"/>
      <c r="AH62" s="114"/>
    </row>
    <row r="63" spans="1:38">
      <c r="A63" s="107"/>
      <c r="B63" s="127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128"/>
      <c r="AD63" s="113"/>
      <c r="AE63" s="113"/>
      <c r="AF63" s="113"/>
      <c r="AG63" s="113"/>
      <c r="AH63" s="114"/>
    </row>
    <row r="64" spans="1:38">
      <c r="A64" s="107"/>
      <c r="B64" s="12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128"/>
      <c r="AD64" s="113"/>
      <c r="AE64" s="113"/>
      <c r="AF64" s="113"/>
      <c r="AG64" s="113"/>
      <c r="AH64" s="114"/>
    </row>
    <row r="65" spans="1:38" ht="12.95" customHeight="1" thickBot="1">
      <c r="A65" s="107"/>
      <c r="B65" s="823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4"/>
      <c r="AC65" s="825"/>
      <c r="AD65" s="113"/>
      <c r="AE65" s="113"/>
      <c r="AF65" s="113"/>
      <c r="AG65" s="113"/>
      <c r="AH65" s="114"/>
    </row>
    <row r="66" spans="1:38">
      <c r="A66" s="107"/>
      <c r="B66" s="826"/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7"/>
      <c r="Z66" s="827"/>
      <c r="AA66" s="827"/>
      <c r="AB66" s="827"/>
      <c r="AC66" s="828"/>
      <c r="AD66" s="113"/>
      <c r="AE66" s="113"/>
      <c r="AF66" s="113"/>
      <c r="AG66" s="113"/>
      <c r="AH66" s="114"/>
    </row>
    <row r="67" spans="1:38" ht="5.0999999999999996" customHeight="1">
      <c r="A67" s="115"/>
      <c r="B67" s="116"/>
      <c r="C67" s="116"/>
      <c r="D67" s="116"/>
      <c r="E67" s="116"/>
      <c r="F67" s="116"/>
      <c r="G67" s="116"/>
      <c r="H67" s="116"/>
      <c r="I67" s="116"/>
      <c r="J67" s="116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8"/>
    </row>
    <row r="68" spans="1:38">
      <c r="B68" s="67"/>
      <c r="C68" s="67"/>
      <c r="D68" s="67"/>
      <c r="E68" s="67"/>
      <c r="F68" s="67"/>
      <c r="G68" s="67"/>
      <c r="H68" s="67"/>
      <c r="I68" s="67"/>
      <c r="J68" s="67"/>
    </row>
    <row r="69" spans="1:38">
      <c r="B69" s="67"/>
      <c r="C69" s="67"/>
      <c r="D69" s="67"/>
      <c r="E69" s="67"/>
      <c r="F69" s="67"/>
      <c r="G69" s="67"/>
      <c r="H69" s="67"/>
      <c r="I69" s="67"/>
      <c r="J69" s="67"/>
    </row>
    <row r="70" spans="1:38">
      <c r="B70" s="67"/>
      <c r="C70" s="67"/>
      <c r="D70" s="67"/>
      <c r="E70" s="67"/>
      <c r="F70" s="67"/>
      <c r="G70" s="67"/>
      <c r="H70" s="67"/>
      <c r="I70" s="67"/>
      <c r="J70" s="67"/>
    </row>
    <row r="71" spans="1:38">
      <c r="B71" s="67"/>
      <c r="C71" s="67"/>
      <c r="D71" s="67"/>
      <c r="E71" s="67"/>
      <c r="F71" s="67"/>
      <c r="G71" s="67"/>
      <c r="H71" s="67"/>
      <c r="I71" s="67"/>
      <c r="J71" s="67"/>
    </row>
    <row r="72" spans="1:38">
      <c r="B72" s="67"/>
      <c r="AD72" s="67"/>
      <c r="AE72" s="67"/>
      <c r="AF72" s="67"/>
      <c r="AG72" s="67"/>
      <c r="AH72" s="67"/>
      <c r="AI72" s="67"/>
      <c r="AJ72" s="67"/>
      <c r="AK72" s="67"/>
      <c r="AL72" s="67"/>
    </row>
  </sheetData>
  <mergeCells count="105">
    <mergeCell ref="Z5:AC5"/>
    <mergeCell ref="B5:E5"/>
    <mergeCell ref="F5:I5"/>
    <mergeCell ref="J5:M5"/>
    <mergeCell ref="N5:Q5"/>
    <mergeCell ref="R5:U5"/>
    <mergeCell ref="V5:Y5"/>
    <mergeCell ref="B2:AC2"/>
    <mergeCell ref="B3:AC3"/>
    <mergeCell ref="B4:E4"/>
    <mergeCell ref="F4:I4"/>
    <mergeCell ref="J4:M4"/>
    <mergeCell ref="N4:Q4"/>
    <mergeCell ref="R4:U4"/>
    <mergeCell ref="V4:Y4"/>
    <mergeCell ref="Z4:AC4"/>
    <mergeCell ref="Z6:AC6"/>
    <mergeCell ref="Z7:AC7"/>
    <mergeCell ref="B8:E8"/>
    <mergeCell ref="F8:I8"/>
    <mergeCell ref="J8:M8"/>
    <mergeCell ref="N8:Q8"/>
    <mergeCell ref="R8:U8"/>
    <mergeCell ref="V8:Y8"/>
    <mergeCell ref="Z8:AC8"/>
    <mergeCell ref="B7:E7"/>
    <mergeCell ref="B6:E6"/>
    <mergeCell ref="F6:I6"/>
    <mergeCell ref="J6:M6"/>
    <mergeCell ref="N6:Q6"/>
    <mergeCell ref="R6:U6"/>
    <mergeCell ref="V6:Y6"/>
    <mergeCell ref="V7:Y7"/>
    <mergeCell ref="J7:M7"/>
    <mergeCell ref="N7:Q7"/>
    <mergeCell ref="R9:U9"/>
    <mergeCell ref="V9:Y9"/>
    <mergeCell ref="Z9:AC9"/>
    <mergeCell ref="F7:I7"/>
    <mergeCell ref="B9:E9"/>
    <mergeCell ref="F9:I9"/>
    <mergeCell ref="J9:M9"/>
    <mergeCell ref="N9:Q9"/>
    <mergeCell ref="R7:U7"/>
    <mergeCell ref="T17:U17"/>
    <mergeCell ref="X17:AC17"/>
    <mergeCell ref="S18:V18"/>
    <mergeCell ref="X18:AC18"/>
    <mergeCell ref="B17:F17"/>
    <mergeCell ref="G17:H17"/>
    <mergeCell ref="I17:M17"/>
    <mergeCell ref="O17:S17"/>
    <mergeCell ref="Z10:AC10"/>
    <mergeCell ref="B12:AC12"/>
    <mergeCell ref="B13:AC13"/>
    <mergeCell ref="B15:AC15"/>
    <mergeCell ref="B16:F16"/>
    <mergeCell ref="G16:H16"/>
    <mergeCell ref="I16:M16"/>
    <mergeCell ref="O16:S16"/>
    <mergeCell ref="T16:U16"/>
    <mergeCell ref="X16:AC16"/>
    <mergeCell ref="B10:E10"/>
    <mergeCell ref="F10:I10"/>
    <mergeCell ref="J10:M10"/>
    <mergeCell ref="N10:Q10"/>
    <mergeCell ref="R10:U10"/>
    <mergeCell ref="V10:Y10"/>
    <mergeCell ref="C24:AA24"/>
    <mergeCell ref="AB24:AC24"/>
    <mergeCell ref="C25:AA25"/>
    <mergeCell ref="AB25:AC25"/>
    <mergeCell ref="C22:AA22"/>
    <mergeCell ref="AB22:AC22"/>
    <mergeCell ref="C23:AA23"/>
    <mergeCell ref="AB23:AC23"/>
    <mergeCell ref="B20:AC20"/>
    <mergeCell ref="B21:G21"/>
    <mergeCell ref="H21:M21"/>
    <mergeCell ref="AB21:AC21"/>
    <mergeCell ref="C30:AA30"/>
    <mergeCell ref="AB30:AC30"/>
    <mergeCell ref="C31:AA31"/>
    <mergeCell ref="AB31:AC31"/>
    <mergeCell ref="C28:AA28"/>
    <mergeCell ref="AB28:AC28"/>
    <mergeCell ref="C29:AA29"/>
    <mergeCell ref="AB29:AC29"/>
    <mergeCell ref="C26:AA26"/>
    <mergeCell ref="AB26:AC26"/>
    <mergeCell ref="C27:AA27"/>
    <mergeCell ref="AB27:AC27"/>
    <mergeCell ref="B65:AC66"/>
    <mergeCell ref="C34:AA34"/>
    <mergeCell ref="AB34:AC34"/>
    <mergeCell ref="B38:AC38"/>
    <mergeCell ref="B39:AC48"/>
    <mergeCell ref="C32:AA32"/>
    <mergeCell ref="AB32:AC32"/>
    <mergeCell ref="C33:AA33"/>
    <mergeCell ref="AB33:AC33"/>
    <mergeCell ref="C35:AA35"/>
    <mergeCell ref="AB35:AC35"/>
    <mergeCell ref="C36:AA36"/>
    <mergeCell ref="AB36:AC36"/>
  </mergeCells>
  <phoneticPr fontId="21" type="noConversion"/>
  <dataValidations count="1">
    <dataValidation type="list" allowBlank="1" sqref="F4:I4">
      <formula1>$AD$4:$AD$5</formula1>
      <formula2>0</formula2>
    </dataValidation>
  </dataValidations>
  <printOptions horizontalCentered="1" verticalCentered="1"/>
  <pageMargins left="0.23622047244094491" right="0.23622047244094491" top="0.39370078740157483" bottom="0.38" header="0.51181102362204722" footer="0.36"/>
  <pageSetup paperSize="9" scale="94" firstPageNumber="0" orientation="portrait" horizontalDpi="300" verticalDpi="300" r:id="rId1"/>
  <headerFooter alignWithMargins="0">
    <oddFooter>&amp;R&amp;8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Q60"/>
  <sheetViews>
    <sheetView showGridLines="0" showZeros="0" view="pageBreakPreview" topLeftCell="A10" zoomScaleNormal="100" zoomScaleSheetLayoutView="100" workbookViewId="0">
      <selection activeCell="T51" sqref="T51"/>
    </sheetView>
  </sheetViews>
  <sheetFormatPr defaultRowHeight="16.5" customHeight="1"/>
  <cols>
    <col min="1" max="1" width="2.7109375" style="1" customWidth="1"/>
    <col min="2" max="2" width="10.5703125" style="1" customWidth="1"/>
    <col min="3" max="3" width="14.140625" style="1" customWidth="1"/>
    <col min="4" max="4" width="9.140625" style="1"/>
    <col min="5" max="5" width="5.5703125" style="1" customWidth="1"/>
    <col min="6" max="6" width="6.5703125" style="1" customWidth="1"/>
    <col min="7" max="7" width="12.5703125" style="1" customWidth="1"/>
    <col min="8" max="8" width="9.140625" style="1"/>
    <col min="9" max="9" width="10.140625" style="1" customWidth="1"/>
    <col min="10" max="10" width="2.5703125" style="1" customWidth="1"/>
    <col min="11" max="13" width="2.7109375" style="1" customWidth="1"/>
    <col min="14" max="17" width="9.140625" style="1" hidden="1" customWidth="1"/>
    <col min="18" max="16384" width="9.140625" style="1"/>
  </cols>
  <sheetData>
    <row r="1" spans="1:14" ht="12" customHeight="1">
      <c r="A1" s="75"/>
      <c r="B1" s="76"/>
      <c r="C1" s="76"/>
      <c r="D1" s="915"/>
      <c r="E1" s="915"/>
      <c r="F1" s="915"/>
      <c r="G1" s="915"/>
      <c r="H1" s="920"/>
      <c r="I1" s="920"/>
      <c r="J1" s="77"/>
      <c r="K1" s="78"/>
    </row>
    <row r="2" spans="1:14" ht="12" customHeight="1">
      <c r="A2" s="79"/>
      <c r="H2" s="919"/>
      <c r="I2" s="919"/>
      <c r="J2" s="10"/>
      <c r="K2" s="80"/>
      <c r="L2" s="70"/>
      <c r="N2" s="1" t="s">
        <v>25</v>
      </c>
    </row>
    <row r="3" spans="1:14" ht="12" customHeight="1">
      <c r="A3" s="81"/>
      <c r="E3" s="924" t="s">
        <v>207</v>
      </c>
      <c r="F3" s="925"/>
      <c r="G3" s="925"/>
      <c r="H3" s="925"/>
      <c r="I3" s="925"/>
      <c r="J3" s="926"/>
      <c r="K3" s="82"/>
      <c r="N3" s="1" t="s">
        <v>22</v>
      </c>
    </row>
    <row r="4" spans="1:14" ht="6" customHeight="1">
      <c r="A4" s="81"/>
      <c r="K4" s="82"/>
      <c r="N4" s="1" t="s">
        <v>23</v>
      </c>
    </row>
    <row r="5" spans="1:14" ht="12" customHeight="1">
      <c r="A5" s="81"/>
      <c r="B5" s="921" t="s">
        <v>148</v>
      </c>
      <c r="C5" s="922"/>
      <c r="D5" s="922"/>
      <c r="E5" s="922"/>
      <c r="F5" s="922"/>
      <c r="G5" s="923"/>
      <c r="H5" s="916" t="s">
        <v>26</v>
      </c>
      <c r="I5" s="917"/>
      <c r="J5" s="918"/>
      <c r="K5" s="82"/>
      <c r="N5" s="1" t="s">
        <v>44</v>
      </c>
    </row>
    <row r="6" spans="1:14" ht="16.5" customHeight="1">
      <c r="A6" s="81"/>
      <c r="B6" s="600" t="str">
        <f>'Página 1'!B8:G8</f>
        <v>Carlos Augusto Silva Canil</v>
      </c>
      <c r="C6" s="600"/>
      <c r="D6" s="600"/>
      <c r="E6" s="600"/>
      <c r="F6" s="600"/>
      <c r="G6" s="600"/>
      <c r="H6" s="594" t="str">
        <f>'Página 1'!H8:J8</f>
        <v>000.409.717-32</v>
      </c>
      <c r="I6" s="595"/>
      <c r="J6" s="596"/>
      <c r="K6" s="82"/>
      <c r="N6" s="1" t="s">
        <v>45</v>
      </c>
    </row>
    <row r="7" spans="1:14" ht="4.5" customHeight="1">
      <c r="A7" s="81"/>
      <c r="K7" s="82"/>
      <c r="N7" s="1" t="s">
        <v>24</v>
      </c>
    </row>
    <row r="8" spans="1:14" ht="12" customHeight="1">
      <c r="A8" s="81"/>
      <c r="B8" s="927" t="s">
        <v>158</v>
      </c>
      <c r="C8" s="927"/>
      <c r="D8" s="927"/>
      <c r="E8" s="927"/>
      <c r="F8" s="927"/>
      <c r="G8" s="9" t="s">
        <v>32</v>
      </c>
      <c r="H8" s="911" t="s">
        <v>64</v>
      </c>
      <c r="I8" s="912"/>
      <c r="J8" s="913"/>
      <c r="K8" s="82"/>
      <c r="N8" s="1" t="s">
        <v>46</v>
      </c>
    </row>
    <row r="9" spans="1:14" ht="16.5" customHeight="1">
      <c r="A9" s="81"/>
      <c r="B9" s="599" t="str">
        <f>'Página 1'!B11:F11</f>
        <v>Rua Cardeal Montini</v>
      </c>
      <c r="C9" s="599"/>
      <c r="D9" s="599"/>
      <c r="E9" s="599"/>
      <c r="F9" s="599"/>
      <c r="G9" s="50"/>
      <c r="H9" s="594">
        <f>'Página 1'!H11:J11</f>
        <v>0</v>
      </c>
      <c r="I9" s="595"/>
      <c r="J9" s="596"/>
      <c r="K9" s="82"/>
      <c r="N9" s="1" t="s">
        <v>47</v>
      </c>
    </row>
    <row r="10" spans="1:14" ht="12" customHeight="1">
      <c r="A10" s="81"/>
      <c r="B10" s="909" t="s">
        <v>0</v>
      </c>
      <c r="C10" s="910"/>
      <c r="D10" s="909" t="s">
        <v>1</v>
      </c>
      <c r="E10" s="914"/>
      <c r="F10" s="910"/>
      <c r="G10" s="9" t="s">
        <v>33</v>
      </c>
      <c r="H10" s="911" t="s">
        <v>16</v>
      </c>
      <c r="I10" s="912"/>
      <c r="J10" s="913"/>
      <c r="K10" s="82"/>
    </row>
    <row r="11" spans="1:14" ht="16.5" customHeight="1">
      <c r="A11" s="81"/>
      <c r="B11" s="594" t="str">
        <f>'Página 1'!B13:C13</f>
        <v>Jardim Santa Catarina</v>
      </c>
      <c r="C11" s="596"/>
      <c r="D11" s="594" t="str">
        <f>'Página 1'!D13:F13</f>
        <v>São Gonçalo</v>
      </c>
      <c r="E11" s="595"/>
      <c r="F11" s="596"/>
      <c r="G11" s="51" t="str">
        <f>'Página 1'!G13</f>
        <v>RJ</v>
      </c>
      <c r="H11" s="594" t="str">
        <f>'Página 1'!H13:J13</f>
        <v>24715-406</v>
      </c>
      <c r="I11" s="595"/>
      <c r="J11" s="596"/>
      <c r="K11" s="82"/>
      <c r="N11" s="1" t="s">
        <v>48</v>
      </c>
    </row>
    <row r="12" spans="1:14" ht="4.5" customHeight="1">
      <c r="A12" s="81"/>
      <c r="K12" s="82"/>
      <c r="N12" s="1" t="s">
        <v>49</v>
      </c>
    </row>
    <row r="13" spans="1:14" ht="8.25" customHeight="1">
      <c r="A13" s="81"/>
      <c r="B13" s="8"/>
      <c r="C13" s="8"/>
      <c r="D13" s="8"/>
      <c r="E13" s="8"/>
      <c r="F13" s="8"/>
      <c r="G13" s="8"/>
      <c r="H13" s="8"/>
      <c r="I13" s="8"/>
      <c r="J13" s="8"/>
      <c r="K13" s="82"/>
      <c r="N13" s="1" t="s">
        <v>51</v>
      </c>
    </row>
    <row r="14" spans="1:14" ht="16.5" customHeight="1">
      <c r="A14" s="81"/>
      <c r="B14" s="931"/>
      <c r="C14" s="932"/>
      <c r="D14" s="932"/>
      <c r="E14" s="933"/>
      <c r="F14" s="931"/>
      <c r="G14" s="932"/>
      <c r="H14" s="932"/>
      <c r="I14" s="932"/>
      <c r="J14" s="933"/>
      <c r="K14" s="82"/>
      <c r="N14" s="1" t="s">
        <v>50</v>
      </c>
    </row>
    <row r="15" spans="1:14" ht="16.5" customHeight="1">
      <c r="A15" s="81"/>
      <c r="B15" s="934"/>
      <c r="C15" s="935"/>
      <c r="D15" s="935"/>
      <c r="E15" s="936"/>
      <c r="F15" s="934"/>
      <c r="G15" s="935"/>
      <c r="H15" s="935"/>
      <c r="I15" s="935"/>
      <c r="J15" s="936"/>
      <c r="K15" s="82"/>
      <c r="N15" s="1" t="s">
        <v>52</v>
      </c>
    </row>
    <row r="16" spans="1:14" ht="16.5" customHeight="1">
      <c r="A16" s="81"/>
      <c r="B16" s="934"/>
      <c r="C16" s="935"/>
      <c r="D16" s="935"/>
      <c r="E16" s="936"/>
      <c r="F16" s="934"/>
      <c r="G16" s="935"/>
      <c r="H16" s="935"/>
      <c r="I16" s="935"/>
      <c r="J16" s="936"/>
      <c r="K16" s="82"/>
      <c r="N16" s="1" t="s">
        <v>53</v>
      </c>
    </row>
    <row r="17" spans="1:14" ht="16.5" customHeight="1">
      <c r="A17" s="81"/>
      <c r="B17" s="934"/>
      <c r="C17" s="935"/>
      <c r="D17" s="935"/>
      <c r="E17" s="936"/>
      <c r="F17" s="934"/>
      <c r="G17" s="935"/>
      <c r="H17" s="935"/>
      <c r="I17" s="935"/>
      <c r="J17" s="936"/>
      <c r="K17" s="82"/>
      <c r="N17" s="1" t="s">
        <v>62</v>
      </c>
    </row>
    <row r="18" spans="1:14" ht="16.5" customHeight="1">
      <c r="A18" s="81"/>
      <c r="B18" s="934"/>
      <c r="C18" s="935"/>
      <c r="D18" s="935"/>
      <c r="E18" s="936"/>
      <c r="F18" s="934"/>
      <c r="G18" s="935"/>
      <c r="H18" s="935"/>
      <c r="I18" s="935"/>
      <c r="J18" s="936"/>
      <c r="K18" s="82"/>
      <c r="N18" s="1" t="s">
        <v>27</v>
      </c>
    </row>
    <row r="19" spans="1:14" ht="16.5" customHeight="1">
      <c r="A19" s="81"/>
      <c r="B19" s="934"/>
      <c r="C19" s="935"/>
      <c r="D19" s="935"/>
      <c r="E19" s="936"/>
      <c r="F19" s="934"/>
      <c r="G19" s="935"/>
      <c r="H19" s="935"/>
      <c r="I19" s="935"/>
      <c r="J19" s="936"/>
      <c r="K19" s="82"/>
      <c r="N19" s="1" t="s">
        <v>63</v>
      </c>
    </row>
    <row r="20" spans="1:14" ht="16.5" customHeight="1">
      <c r="A20" s="81"/>
      <c r="B20" s="934"/>
      <c r="C20" s="935"/>
      <c r="D20" s="935"/>
      <c r="E20" s="936"/>
      <c r="F20" s="934"/>
      <c r="G20" s="935"/>
      <c r="H20" s="935"/>
      <c r="I20" s="935"/>
      <c r="J20" s="936"/>
      <c r="K20" s="82"/>
      <c r="N20" s="1" t="s">
        <v>28</v>
      </c>
    </row>
    <row r="21" spans="1:14" ht="16.5" customHeight="1">
      <c r="A21" s="81"/>
      <c r="B21" s="934"/>
      <c r="C21" s="935"/>
      <c r="D21" s="935"/>
      <c r="E21" s="936"/>
      <c r="F21" s="934"/>
      <c r="G21" s="935"/>
      <c r="H21" s="935"/>
      <c r="I21" s="935"/>
      <c r="J21" s="936"/>
      <c r="K21" s="82"/>
      <c r="N21" s="1" t="s">
        <v>30</v>
      </c>
    </row>
    <row r="22" spans="1:14" ht="16.5" customHeight="1">
      <c r="A22" s="81"/>
      <c r="B22" s="934"/>
      <c r="C22" s="935"/>
      <c r="D22" s="935"/>
      <c r="E22" s="936"/>
      <c r="F22" s="934"/>
      <c r="G22" s="935"/>
      <c r="H22" s="935"/>
      <c r="I22" s="935"/>
      <c r="J22" s="936"/>
      <c r="K22" s="82"/>
      <c r="N22" s="1" t="s">
        <v>29</v>
      </c>
    </row>
    <row r="23" spans="1:14" ht="16.5" customHeight="1">
      <c r="A23" s="81"/>
      <c r="B23" s="937"/>
      <c r="C23" s="938"/>
      <c r="D23" s="938"/>
      <c r="E23" s="939"/>
      <c r="F23" s="937"/>
      <c r="G23" s="938"/>
      <c r="H23" s="938"/>
      <c r="I23" s="938"/>
      <c r="J23" s="939"/>
      <c r="K23" s="82"/>
    </row>
    <row r="24" spans="1:14" ht="7.5" customHeight="1">
      <c r="A24" s="81"/>
      <c r="B24" s="8"/>
      <c r="C24" s="8"/>
      <c r="D24" s="8"/>
      <c r="E24" s="8"/>
      <c r="F24" s="8"/>
      <c r="G24" s="8"/>
      <c r="H24" s="8"/>
      <c r="I24" s="8"/>
      <c r="J24" s="8"/>
      <c r="K24" s="82"/>
      <c r="N24" s="1" t="s">
        <v>8</v>
      </c>
    </row>
    <row r="25" spans="1:14" ht="16.5" customHeight="1">
      <c r="A25" s="81"/>
      <c r="B25" s="928" t="s">
        <v>957</v>
      </c>
      <c r="C25" s="929"/>
      <c r="D25" s="929"/>
      <c r="E25" s="930"/>
      <c r="F25" s="928" t="s">
        <v>947</v>
      </c>
      <c r="G25" s="929"/>
      <c r="H25" s="929"/>
      <c r="I25" s="929"/>
      <c r="J25" s="930"/>
      <c r="K25" s="82"/>
      <c r="N25" s="1" t="s">
        <v>54</v>
      </c>
    </row>
    <row r="26" spans="1:14" ht="7.5" customHeight="1">
      <c r="A26" s="81"/>
      <c r="B26" s="8"/>
      <c r="C26" s="8"/>
      <c r="D26" s="8"/>
      <c r="E26" s="8"/>
      <c r="F26" s="8"/>
      <c r="G26" s="8"/>
      <c r="H26" s="8"/>
      <c r="I26" s="8"/>
      <c r="J26" s="8"/>
      <c r="K26" s="82"/>
    </row>
    <row r="27" spans="1:14" ht="7.5" customHeight="1">
      <c r="A27" s="81"/>
      <c r="B27" s="8"/>
      <c r="C27" s="8"/>
      <c r="D27" s="8"/>
      <c r="E27" s="8"/>
      <c r="F27" s="8"/>
      <c r="G27" s="8"/>
      <c r="H27" s="8"/>
      <c r="I27" s="8"/>
      <c r="J27" s="8"/>
      <c r="K27" s="82"/>
      <c r="N27" s="1" t="s">
        <v>4</v>
      </c>
    </row>
    <row r="28" spans="1:14" ht="16.5" customHeight="1">
      <c r="A28" s="81"/>
      <c r="B28" s="931"/>
      <c r="C28" s="932"/>
      <c r="D28" s="932"/>
      <c r="E28" s="933"/>
      <c r="F28" s="931"/>
      <c r="G28" s="932"/>
      <c r="H28" s="932"/>
      <c r="I28" s="932"/>
      <c r="J28" s="933"/>
      <c r="K28" s="82"/>
      <c r="N28" s="1" t="s">
        <v>55</v>
      </c>
    </row>
    <row r="29" spans="1:14" ht="16.5" customHeight="1">
      <c r="A29" s="81"/>
      <c r="B29" s="934"/>
      <c r="C29" s="935"/>
      <c r="D29" s="935"/>
      <c r="E29" s="936"/>
      <c r="F29" s="934"/>
      <c r="G29" s="935"/>
      <c r="H29" s="935"/>
      <c r="I29" s="935"/>
      <c r="J29" s="936"/>
      <c r="K29" s="82"/>
      <c r="N29" s="1" t="s">
        <v>3</v>
      </c>
    </row>
    <row r="30" spans="1:14" ht="16.5" customHeight="1">
      <c r="A30" s="81"/>
      <c r="B30" s="934"/>
      <c r="C30" s="935"/>
      <c r="D30" s="935"/>
      <c r="E30" s="936"/>
      <c r="F30" s="934"/>
      <c r="G30" s="935"/>
      <c r="H30" s="935"/>
      <c r="I30" s="935"/>
      <c r="J30" s="936"/>
      <c r="K30" s="82"/>
    </row>
    <row r="31" spans="1:14" ht="16.5" customHeight="1">
      <c r="A31" s="81"/>
      <c r="B31" s="934"/>
      <c r="C31" s="935"/>
      <c r="D31" s="935"/>
      <c r="E31" s="936"/>
      <c r="F31" s="934"/>
      <c r="G31" s="935"/>
      <c r="H31" s="935"/>
      <c r="I31" s="935"/>
      <c r="J31" s="936"/>
      <c r="K31" s="82"/>
      <c r="N31" s="1" t="s">
        <v>5</v>
      </c>
    </row>
    <row r="32" spans="1:14" ht="16.5" customHeight="1">
      <c r="A32" s="81"/>
      <c r="B32" s="934"/>
      <c r="C32" s="935"/>
      <c r="D32" s="935"/>
      <c r="E32" s="936"/>
      <c r="F32" s="934"/>
      <c r="G32" s="935"/>
      <c r="H32" s="935"/>
      <c r="I32" s="935"/>
      <c r="J32" s="936"/>
      <c r="K32" s="82"/>
      <c r="N32" s="1" t="s">
        <v>56</v>
      </c>
    </row>
    <row r="33" spans="1:14" ht="16.5" customHeight="1">
      <c r="A33" s="81"/>
      <c r="B33" s="934"/>
      <c r="C33" s="935"/>
      <c r="D33" s="935"/>
      <c r="E33" s="936"/>
      <c r="F33" s="934"/>
      <c r="G33" s="935"/>
      <c r="H33" s="935"/>
      <c r="I33" s="935"/>
      <c r="J33" s="936"/>
      <c r="K33" s="82"/>
      <c r="N33" s="1" t="s">
        <v>6</v>
      </c>
    </row>
    <row r="34" spans="1:14" ht="16.5" customHeight="1">
      <c r="A34" s="81"/>
      <c r="B34" s="934"/>
      <c r="C34" s="935"/>
      <c r="D34" s="935"/>
      <c r="E34" s="936"/>
      <c r="F34" s="934"/>
      <c r="G34" s="935"/>
      <c r="H34" s="935"/>
      <c r="I34" s="935"/>
      <c r="J34" s="936"/>
      <c r="K34" s="82"/>
      <c r="N34" s="1" t="s">
        <v>57</v>
      </c>
    </row>
    <row r="35" spans="1:14" ht="16.5" customHeight="1">
      <c r="A35" s="81"/>
      <c r="B35" s="934"/>
      <c r="C35" s="935"/>
      <c r="D35" s="935"/>
      <c r="E35" s="936"/>
      <c r="F35" s="934"/>
      <c r="G35" s="935"/>
      <c r="H35" s="935"/>
      <c r="I35" s="935"/>
      <c r="J35" s="936"/>
      <c r="K35" s="82"/>
      <c r="N35" s="1" t="s">
        <v>7</v>
      </c>
    </row>
    <row r="36" spans="1:14" ht="16.5" customHeight="1">
      <c r="A36" s="81"/>
      <c r="B36" s="934"/>
      <c r="C36" s="935"/>
      <c r="D36" s="935"/>
      <c r="E36" s="936"/>
      <c r="F36" s="934"/>
      <c r="G36" s="935"/>
      <c r="H36" s="935"/>
      <c r="I36" s="935"/>
      <c r="J36" s="936"/>
      <c r="K36" s="82"/>
    </row>
    <row r="37" spans="1:14" ht="16.5" customHeight="1">
      <c r="A37" s="81"/>
      <c r="B37" s="937"/>
      <c r="C37" s="938"/>
      <c r="D37" s="938"/>
      <c r="E37" s="939"/>
      <c r="F37" s="937"/>
      <c r="G37" s="938"/>
      <c r="H37" s="938"/>
      <c r="I37" s="938"/>
      <c r="J37" s="939"/>
      <c r="K37" s="82"/>
    </row>
    <row r="38" spans="1:14" ht="7.5" customHeight="1">
      <c r="A38" s="81"/>
      <c r="B38" s="8"/>
      <c r="C38" s="8"/>
      <c r="D38" s="8"/>
      <c r="E38" s="8"/>
      <c r="F38" s="8"/>
      <c r="G38" s="8"/>
      <c r="H38" s="8"/>
      <c r="I38" s="8"/>
      <c r="J38" s="8"/>
      <c r="K38" s="82"/>
    </row>
    <row r="39" spans="1:14" ht="16.5" customHeight="1">
      <c r="A39" s="81"/>
      <c r="B39" s="928" t="s">
        <v>958</v>
      </c>
      <c r="C39" s="929"/>
      <c r="D39" s="929"/>
      <c r="E39" s="930"/>
      <c r="F39" s="928" t="s">
        <v>17</v>
      </c>
      <c r="G39" s="929"/>
      <c r="H39" s="929"/>
      <c r="I39" s="929"/>
      <c r="J39" s="930"/>
      <c r="K39" s="82"/>
      <c r="N39" s="1" t="s">
        <v>58</v>
      </c>
    </row>
    <row r="40" spans="1:14" ht="7.5" customHeight="1">
      <c r="A40" s="81"/>
      <c r="B40" s="8"/>
      <c r="C40" s="8"/>
      <c r="D40" s="8"/>
      <c r="E40" s="8"/>
      <c r="F40" s="8"/>
      <c r="G40" s="8"/>
      <c r="H40" s="8"/>
      <c r="I40" s="8"/>
      <c r="J40" s="8"/>
      <c r="K40" s="82"/>
    </row>
    <row r="41" spans="1:14" ht="7.5" customHeight="1">
      <c r="A41" s="81"/>
      <c r="B41" s="15"/>
      <c r="C41" s="15"/>
      <c r="D41" s="15"/>
      <c r="E41" s="15"/>
      <c r="F41" s="15"/>
      <c r="G41" s="15"/>
      <c r="H41" s="15"/>
      <c r="I41" s="15"/>
      <c r="J41" s="15"/>
      <c r="K41" s="82"/>
      <c r="N41" s="1" t="s">
        <v>59</v>
      </c>
    </row>
    <row r="42" spans="1:14" ht="16.5" customHeight="1">
      <c r="A42" s="81"/>
      <c r="B42" s="931"/>
      <c r="C42" s="932"/>
      <c r="D42" s="932"/>
      <c r="E42" s="933"/>
      <c r="F42" s="931"/>
      <c r="G42" s="932"/>
      <c r="H42" s="932"/>
      <c r="I42" s="932"/>
      <c r="J42" s="933"/>
      <c r="K42" s="82"/>
    </row>
    <row r="43" spans="1:14" ht="16.5" customHeight="1">
      <c r="A43" s="81"/>
      <c r="B43" s="934"/>
      <c r="C43" s="935"/>
      <c r="D43" s="935"/>
      <c r="E43" s="936"/>
      <c r="F43" s="934"/>
      <c r="G43" s="935"/>
      <c r="H43" s="935"/>
      <c r="I43" s="935"/>
      <c r="J43" s="936"/>
      <c r="K43" s="82"/>
      <c r="N43" s="1" t="s">
        <v>60</v>
      </c>
    </row>
    <row r="44" spans="1:14" ht="16.5" customHeight="1">
      <c r="A44" s="81"/>
      <c r="B44" s="934"/>
      <c r="C44" s="935"/>
      <c r="D44" s="935"/>
      <c r="E44" s="936"/>
      <c r="F44" s="934"/>
      <c r="G44" s="935"/>
      <c r="H44" s="935"/>
      <c r="I44" s="935"/>
      <c r="J44" s="936"/>
      <c r="K44" s="82"/>
      <c r="N44" s="1" t="s">
        <v>61</v>
      </c>
    </row>
    <row r="45" spans="1:14" ht="16.5" customHeight="1">
      <c r="A45" s="81"/>
      <c r="B45" s="934"/>
      <c r="C45" s="935"/>
      <c r="D45" s="935"/>
      <c r="E45" s="936"/>
      <c r="F45" s="934"/>
      <c r="G45" s="935"/>
      <c r="H45" s="935"/>
      <c r="I45" s="935"/>
      <c r="J45" s="936"/>
      <c r="K45" s="82"/>
    </row>
    <row r="46" spans="1:14" ht="16.5" customHeight="1">
      <c r="A46" s="81"/>
      <c r="B46" s="934"/>
      <c r="C46" s="935"/>
      <c r="D46" s="935"/>
      <c r="E46" s="936"/>
      <c r="F46" s="934"/>
      <c r="G46" s="935"/>
      <c r="H46" s="935"/>
      <c r="I46" s="935"/>
      <c r="J46" s="936"/>
      <c r="K46" s="82"/>
    </row>
    <row r="47" spans="1:14" ht="16.5" customHeight="1">
      <c r="A47" s="81"/>
      <c r="B47" s="934"/>
      <c r="C47" s="935"/>
      <c r="D47" s="935"/>
      <c r="E47" s="936"/>
      <c r="F47" s="934"/>
      <c r="G47" s="935"/>
      <c r="H47" s="935"/>
      <c r="I47" s="935"/>
      <c r="J47" s="936"/>
      <c r="K47" s="82"/>
    </row>
    <row r="48" spans="1:14" ht="16.5" customHeight="1">
      <c r="A48" s="81"/>
      <c r="B48" s="934"/>
      <c r="C48" s="935"/>
      <c r="D48" s="935"/>
      <c r="E48" s="936"/>
      <c r="F48" s="934"/>
      <c r="G48" s="935"/>
      <c r="H48" s="935"/>
      <c r="I48" s="935"/>
      <c r="J48" s="936"/>
      <c r="K48" s="82"/>
    </row>
    <row r="49" spans="1:11" ht="16.5" customHeight="1">
      <c r="A49" s="81"/>
      <c r="B49" s="934"/>
      <c r="C49" s="935"/>
      <c r="D49" s="935"/>
      <c r="E49" s="936"/>
      <c r="F49" s="934"/>
      <c r="G49" s="935"/>
      <c r="H49" s="935"/>
      <c r="I49" s="935"/>
      <c r="J49" s="936"/>
      <c r="K49" s="82"/>
    </row>
    <row r="50" spans="1:11" ht="16.5" customHeight="1">
      <c r="A50" s="81"/>
      <c r="B50" s="934"/>
      <c r="C50" s="935"/>
      <c r="D50" s="935"/>
      <c r="E50" s="936"/>
      <c r="F50" s="934"/>
      <c r="G50" s="935"/>
      <c r="H50" s="935"/>
      <c r="I50" s="935"/>
      <c r="J50" s="936"/>
      <c r="K50" s="82"/>
    </row>
    <row r="51" spans="1:11" ht="16.5" customHeight="1">
      <c r="A51" s="81"/>
      <c r="B51" s="937"/>
      <c r="C51" s="938"/>
      <c r="D51" s="938"/>
      <c r="E51" s="939"/>
      <c r="F51" s="937"/>
      <c r="G51" s="938"/>
      <c r="H51" s="938"/>
      <c r="I51" s="938"/>
      <c r="J51" s="939"/>
      <c r="K51" s="82"/>
    </row>
    <row r="52" spans="1:11" ht="7.5" customHeight="1">
      <c r="A52" s="81"/>
      <c r="B52" s="8"/>
      <c r="C52" s="8"/>
      <c r="D52" s="8"/>
      <c r="E52" s="8"/>
      <c r="F52" s="8"/>
      <c r="G52" s="8"/>
      <c r="H52" s="8"/>
      <c r="I52" s="8"/>
      <c r="J52" s="8"/>
      <c r="K52" s="82"/>
    </row>
    <row r="53" spans="1:11" ht="16.5" customHeight="1">
      <c r="A53" s="81"/>
      <c r="B53" s="928" t="s">
        <v>959</v>
      </c>
      <c r="C53" s="929"/>
      <c r="D53" s="929"/>
      <c r="E53" s="930"/>
      <c r="F53" s="928" t="s">
        <v>960</v>
      </c>
      <c r="G53" s="929"/>
      <c r="H53" s="929"/>
      <c r="I53" s="929"/>
      <c r="J53" s="930"/>
      <c r="K53" s="82"/>
    </row>
    <row r="54" spans="1:11" ht="16.5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6.5" customHeight="1">
      <c r="B55" s="12"/>
      <c r="C55" s="12"/>
      <c r="D55" s="12"/>
      <c r="E55" s="12"/>
      <c r="F55" s="12"/>
      <c r="G55" s="12"/>
      <c r="H55" s="12"/>
      <c r="I55" s="12"/>
      <c r="J55" s="12"/>
    </row>
    <row r="56" spans="1:11" ht="16.5" customHeight="1">
      <c r="B56" s="11"/>
      <c r="C56" s="11"/>
      <c r="D56" s="11"/>
      <c r="E56" s="11"/>
      <c r="F56" s="11"/>
      <c r="G56" s="11"/>
      <c r="H56" s="11"/>
      <c r="I56" s="11"/>
      <c r="J56" s="13"/>
    </row>
    <row r="57" spans="1:11" ht="16.5" customHeight="1"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16.5" customHeight="1"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16.5" customHeight="1"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16.5" customHeight="1">
      <c r="B60" s="13"/>
      <c r="C60" s="13"/>
      <c r="D60" s="13"/>
      <c r="E60" s="13"/>
      <c r="F60" s="13"/>
      <c r="G60" s="13"/>
      <c r="H60" s="13"/>
      <c r="I60" s="13"/>
      <c r="J60" s="13"/>
    </row>
  </sheetData>
  <mergeCells count="30">
    <mergeCell ref="B53:E53"/>
    <mergeCell ref="F53:J53"/>
    <mergeCell ref="B42:E51"/>
    <mergeCell ref="F42:J51"/>
    <mergeCell ref="H11:J11"/>
    <mergeCell ref="B39:E39"/>
    <mergeCell ref="F14:J23"/>
    <mergeCell ref="B28:E37"/>
    <mergeCell ref="F28:J37"/>
    <mergeCell ref="B14:E23"/>
    <mergeCell ref="F25:J25"/>
    <mergeCell ref="B25:E25"/>
    <mergeCell ref="F39:J39"/>
    <mergeCell ref="D1:G1"/>
    <mergeCell ref="H9:J9"/>
    <mergeCell ref="H8:J8"/>
    <mergeCell ref="H6:J6"/>
    <mergeCell ref="H5:J5"/>
    <mergeCell ref="H2:I2"/>
    <mergeCell ref="H1:I1"/>
    <mergeCell ref="B9:F9"/>
    <mergeCell ref="B6:G6"/>
    <mergeCell ref="B5:G5"/>
    <mergeCell ref="E3:J3"/>
    <mergeCell ref="B8:F8"/>
    <mergeCell ref="B10:C10"/>
    <mergeCell ref="B11:C11"/>
    <mergeCell ref="D11:F11"/>
    <mergeCell ref="H10:J10"/>
    <mergeCell ref="D10:F10"/>
  </mergeCells>
  <phoneticPr fontId="5" type="noConversion"/>
  <printOptions horizontalCentered="1" verticalCentered="1"/>
  <pageMargins left="0.27" right="0.25" top="0.27559055118110237" bottom="0.39370078740157483" header="0" footer="0"/>
  <pageSetup paperSize="9" scale="10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Q60"/>
  <sheetViews>
    <sheetView showGridLines="0" showZeros="0" view="pageBreakPreview" topLeftCell="A31" zoomScaleNormal="100" zoomScaleSheetLayoutView="100" workbookViewId="0">
      <selection activeCell="R45" sqref="R45"/>
    </sheetView>
  </sheetViews>
  <sheetFormatPr defaultRowHeight="16.5" customHeight="1"/>
  <cols>
    <col min="1" max="1" width="2.7109375" style="1" customWidth="1"/>
    <col min="2" max="2" width="10.5703125" style="1" customWidth="1"/>
    <col min="3" max="3" width="14.140625" style="1" customWidth="1"/>
    <col min="4" max="4" width="9.140625" style="1"/>
    <col min="5" max="5" width="5.5703125" style="1" customWidth="1"/>
    <col min="6" max="6" width="6.5703125" style="1" customWidth="1"/>
    <col min="7" max="7" width="12.5703125" style="1" customWidth="1"/>
    <col min="8" max="8" width="9.140625" style="1"/>
    <col min="9" max="9" width="10.140625" style="1" customWidth="1"/>
    <col min="10" max="10" width="2.5703125" style="1" customWidth="1"/>
    <col min="11" max="13" width="2.7109375" style="1" customWidth="1"/>
    <col min="14" max="17" width="9.140625" style="1" hidden="1" customWidth="1"/>
    <col min="18" max="16384" width="9.140625" style="1"/>
  </cols>
  <sheetData>
    <row r="1" spans="1:14" ht="12" customHeight="1">
      <c r="A1" s="75"/>
      <c r="B1" s="76"/>
      <c r="C1" s="76"/>
      <c r="D1" s="915"/>
      <c r="E1" s="915"/>
      <c r="F1" s="915"/>
      <c r="G1" s="915"/>
      <c r="H1" s="920"/>
      <c r="I1" s="920"/>
      <c r="J1" s="77"/>
      <c r="K1" s="78"/>
    </row>
    <row r="2" spans="1:14" ht="12" customHeight="1">
      <c r="A2" s="79"/>
      <c r="H2" s="919"/>
      <c r="I2" s="919"/>
      <c r="J2" s="10"/>
      <c r="K2" s="80"/>
      <c r="L2" s="70"/>
      <c r="N2" s="1" t="s">
        <v>25</v>
      </c>
    </row>
    <row r="3" spans="1:14" ht="12" customHeight="1">
      <c r="A3" s="81"/>
      <c r="E3" s="924" t="s">
        <v>208</v>
      </c>
      <c r="F3" s="925"/>
      <c r="G3" s="925"/>
      <c r="H3" s="925"/>
      <c r="I3" s="925"/>
      <c r="J3" s="926"/>
      <c r="K3" s="82"/>
      <c r="N3" s="1" t="s">
        <v>22</v>
      </c>
    </row>
    <row r="4" spans="1:14" ht="6" customHeight="1">
      <c r="A4" s="81"/>
      <c r="K4" s="82"/>
      <c r="N4" s="1" t="s">
        <v>23</v>
      </c>
    </row>
    <row r="5" spans="1:14" ht="12" customHeight="1">
      <c r="A5" s="81"/>
      <c r="B5" s="921" t="s">
        <v>148</v>
      </c>
      <c r="C5" s="922"/>
      <c r="D5" s="922"/>
      <c r="E5" s="922"/>
      <c r="F5" s="922"/>
      <c r="G5" s="923"/>
      <c r="H5" s="916" t="s">
        <v>26</v>
      </c>
      <c r="I5" s="917"/>
      <c r="J5" s="918"/>
      <c r="K5" s="82"/>
      <c r="N5" s="1" t="s">
        <v>44</v>
      </c>
    </row>
    <row r="6" spans="1:14" ht="16.5" customHeight="1">
      <c r="A6" s="81"/>
      <c r="B6" s="940" t="str">
        <f>Fotos!$B$6</f>
        <v>Carlos Augusto Silva Canil</v>
      </c>
      <c r="C6" s="941"/>
      <c r="D6" s="941"/>
      <c r="E6" s="941"/>
      <c r="F6" s="941"/>
      <c r="G6" s="941"/>
      <c r="H6" s="594" t="str">
        <f>Fotos!$H$6</f>
        <v>000.409.717-32</v>
      </c>
      <c r="I6" s="595"/>
      <c r="J6" s="596"/>
      <c r="K6" s="82"/>
      <c r="N6" s="1" t="s">
        <v>45</v>
      </c>
    </row>
    <row r="7" spans="1:14" ht="4.5" customHeight="1">
      <c r="A7" s="81"/>
      <c r="K7" s="82"/>
      <c r="N7" s="1" t="s">
        <v>24</v>
      </c>
    </row>
    <row r="8" spans="1:14" ht="12" customHeight="1">
      <c r="A8" s="81"/>
      <c r="B8" s="927" t="s">
        <v>158</v>
      </c>
      <c r="C8" s="927"/>
      <c r="D8" s="927"/>
      <c r="E8" s="927"/>
      <c r="F8" s="927"/>
      <c r="G8" s="9" t="s">
        <v>32</v>
      </c>
      <c r="H8" s="911" t="s">
        <v>64</v>
      </c>
      <c r="I8" s="912"/>
      <c r="J8" s="913"/>
      <c r="K8" s="82"/>
      <c r="N8" s="1" t="s">
        <v>46</v>
      </c>
    </row>
    <row r="9" spans="1:14" ht="16.5" customHeight="1">
      <c r="A9" s="81"/>
      <c r="B9" s="599" t="str">
        <f>Fotos!$B$9</f>
        <v>Rua Cardeal Montini</v>
      </c>
      <c r="C9" s="599"/>
      <c r="D9" s="599"/>
      <c r="E9" s="599"/>
      <c r="F9" s="599"/>
      <c r="G9" s="50">
        <f>Fotos!$G$9</f>
        <v>0</v>
      </c>
      <c r="H9" s="594">
        <f>Fotos!$H$9</f>
        <v>0</v>
      </c>
      <c r="I9" s="595"/>
      <c r="J9" s="596"/>
      <c r="K9" s="82"/>
      <c r="N9" s="1" t="s">
        <v>47</v>
      </c>
    </row>
    <row r="10" spans="1:14" ht="12" customHeight="1">
      <c r="A10" s="81"/>
      <c r="B10" s="909" t="s">
        <v>0</v>
      </c>
      <c r="C10" s="910"/>
      <c r="D10" s="909" t="s">
        <v>1</v>
      </c>
      <c r="E10" s="914"/>
      <c r="F10" s="910"/>
      <c r="G10" s="9" t="s">
        <v>33</v>
      </c>
      <c r="H10" s="911" t="s">
        <v>16</v>
      </c>
      <c r="I10" s="912"/>
      <c r="J10" s="913"/>
      <c r="K10" s="82"/>
    </row>
    <row r="11" spans="1:14" ht="16.5" customHeight="1">
      <c r="A11" s="81"/>
      <c r="B11" s="594" t="str">
        <f>Fotos!$B$11</f>
        <v>Jardim Santa Catarina</v>
      </c>
      <c r="C11" s="596"/>
      <c r="D11" s="594" t="str">
        <f>Fotos!$D$11</f>
        <v>São Gonçalo</v>
      </c>
      <c r="E11" s="595"/>
      <c r="F11" s="596"/>
      <c r="G11" s="51" t="str">
        <f>Fotos!G11</f>
        <v>RJ</v>
      </c>
      <c r="H11" s="594" t="str">
        <f>Fotos!H11</f>
        <v>24715-406</v>
      </c>
      <c r="I11" s="595"/>
      <c r="J11" s="596"/>
      <c r="K11" s="82"/>
      <c r="N11" s="1" t="s">
        <v>48</v>
      </c>
    </row>
    <row r="12" spans="1:14" ht="4.5" customHeight="1">
      <c r="A12" s="81"/>
      <c r="K12" s="82"/>
      <c r="N12" s="1" t="s">
        <v>49</v>
      </c>
    </row>
    <row r="13" spans="1:14" ht="8.25" customHeight="1">
      <c r="A13" s="81"/>
      <c r="B13" s="8"/>
      <c r="C13" s="8"/>
      <c r="D13" s="8"/>
      <c r="E13" s="8"/>
      <c r="F13" s="8"/>
      <c r="G13" s="8"/>
      <c r="H13" s="8"/>
      <c r="I13" s="8"/>
      <c r="J13" s="8"/>
      <c r="K13" s="82"/>
      <c r="N13" s="1" t="s">
        <v>51</v>
      </c>
    </row>
    <row r="14" spans="1:14" ht="16.5" customHeight="1">
      <c r="A14" s="81"/>
      <c r="B14" s="931"/>
      <c r="C14" s="932"/>
      <c r="D14" s="932"/>
      <c r="E14" s="933"/>
      <c r="F14" s="931"/>
      <c r="G14" s="932"/>
      <c r="H14" s="932"/>
      <c r="I14" s="932"/>
      <c r="J14" s="933"/>
      <c r="K14" s="82"/>
      <c r="N14" s="1" t="s">
        <v>50</v>
      </c>
    </row>
    <row r="15" spans="1:14" ht="16.5" customHeight="1">
      <c r="A15" s="81"/>
      <c r="B15" s="934"/>
      <c r="C15" s="935"/>
      <c r="D15" s="935"/>
      <c r="E15" s="936"/>
      <c r="F15" s="934"/>
      <c r="G15" s="935"/>
      <c r="H15" s="935"/>
      <c r="I15" s="935"/>
      <c r="J15" s="936"/>
      <c r="K15" s="82"/>
      <c r="N15" s="1" t="s">
        <v>52</v>
      </c>
    </row>
    <row r="16" spans="1:14" ht="16.5" customHeight="1">
      <c r="A16" s="81"/>
      <c r="B16" s="934"/>
      <c r="C16" s="935"/>
      <c r="D16" s="935"/>
      <c r="E16" s="936"/>
      <c r="F16" s="934"/>
      <c r="G16" s="935"/>
      <c r="H16" s="935"/>
      <c r="I16" s="935"/>
      <c r="J16" s="936"/>
      <c r="K16" s="82"/>
      <c r="N16" s="1" t="s">
        <v>53</v>
      </c>
    </row>
    <row r="17" spans="1:14" ht="16.5" customHeight="1">
      <c r="A17" s="81"/>
      <c r="B17" s="934"/>
      <c r="C17" s="935"/>
      <c r="D17" s="935"/>
      <c r="E17" s="936"/>
      <c r="F17" s="934"/>
      <c r="G17" s="935"/>
      <c r="H17" s="935"/>
      <c r="I17" s="935"/>
      <c r="J17" s="936"/>
      <c r="K17" s="82"/>
      <c r="N17" s="1" t="s">
        <v>62</v>
      </c>
    </row>
    <row r="18" spans="1:14" ht="16.5" customHeight="1">
      <c r="A18" s="81"/>
      <c r="B18" s="934"/>
      <c r="C18" s="935"/>
      <c r="D18" s="935"/>
      <c r="E18" s="936"/>
      <c r="F18" s="934"/>
      <c r="G18" s="935"/>
      <c r="H18" s="935"/>
      <c r="I18" s="935"/>
      <c r="J18" s="936"/>
      <c r="K18" s="82"/>
      <c r="N18" s="1" t="s">
        <v>27</v>
      </c>
    </row>
    <row r="19" spans="1:14" ht="16.5" customHeight="1">
      <c r="A19" s="81"/>
      <c r="B19" s="934"/>
      <c r="C19" s="935"/>
      <c r="D19" s="935"/>
      <c r="E19" s="936"/>
      <c r="F19" s="934"/>
      <c r="G19" s="935"/>
      <c r="H19" s="935"/>
      <c r="I19" s="935"/>
      <c r="J19" s="936"/>
      <c r="K19" s="82"/>
      <c r="N19" s="1" t="s">
        <v>63</v>
      </c>
    </row>
    <row r="20" spans="1:14" ht="16.5" customHeight="1">
      <c r="A20" s="81"/>
      <c r="B20" s="934"/>
      <c r="C20" s="935"/>
      <c r="D20" s="935"/>
      <c r="E20" s="936"/>
      <c r="F20" s="934"/>
      <c r="G20" s="935"/>
      <c r="H20" s="935"/>
      <c r="I20" s="935"/>
      <c r="J20" s="936"/>
      <c r="K20" s="82"/>
      <c r="N20" s="1" t="s">
        <v>28</v>
      </c>
    </row>
    <row r="21" spans="1:14" ht="16.5" customHeight="1">
      <c r="A21" s="81"/>
      <c r="B21" s="934"/>
      <c r="C21" s="935"/>
      <c r="D21" s="935"/>
      <c r="E21" s="936"/>
      <c r="F21" s="934"/>
      <c r="G21" s="935"/>
      <c r="H21" s="935"/>
      <c r="I21" s="935"/>
      <c r="J21" s="936"/>
      <c r="K21" s="82"/>
      <c r="N21" s="1" t="s">
        <v>30</v>
      </c>
    </row>
    <row r="22" spans="1:14" ht="16.5" customHeight="1">
      <c r="A22" s="81"/>
      <c r="B22" s="934"/>
      <c r="C22" s="935"/>
      <c r="D22" s="935"/>
      <c r="E22" s="936"/>
      <c r="F22" s="934"/>
      <c r="G22" s="935"/>
      <c r="H22" s="935"/>
      <c r="I22" s="935"/>
      <c r="J22" s="936"/>
      <c r="K22" s="82"/>
      <c r="N22" s="1" t="s">
        <v>29</v>
      </c>
    </row>
    <row r="23" spans="1:14" ht="16.5" customHeight="1">
      <c r="A23" s="81"/>
      <c r="B23" s="937"/>
      <c r="C23" s="938"/>
      <c r="D23" s="938"/>
      <c r="E23" s="939"/>
      <c r="F23" s="937"/>
      <c r="G23" s="938"/>
      <c r="H23" s="938"/>
      <c r="I23" s="938"/>
      <c r="J23" s="939"/>
      <c r="K23" s="82"/>
    </row>
    <row r="24" spans="1:14" ht="7.5" customHeight="1">
      <c r="A24" s="81"/>
      <c r="B24" s="8"/>
      <c r="C24" s="8"/>
      <c r="D24" s="8"/>
      <c r="E24" s="8"/>
      <c r="F24" s="8"/>
      <c r="G24" s="8"/>
      <c r="H24" s="8"/>
      <c r="I24" s="8"/>
      <c r="J24" s="8"/>
      <c r="K24" s="82"/>
      <c r="N24" s="1" t="s">
        <v>8</v>
      </c>
    </row>
    <row r="25" spans="1:14" ht="16.5" customHeight="1">
      <c r="A25" s="81"/>
      <c r="B25" s="928" t="s">
        <v>961</v>
      </c>
      <c r="C25" s="929"/>
      <c r="D25" s="929"/>
      <c r="E25" s="930"/>
      <c r="F25" s="928" t="s">
        <v>962</v>
      </c>
      <c r="G25" s="929"/>
      <c r="H25" s="929"/>
      <c r="I25" s="929"/>
      <c r="J25" s="930"/>
      <c r="K25" s="82"/>
      <c r="N25" s="1" t="s">
        <v>54</v>
      </c>
    </row>
    <row r="26" spans="1:14" ht="7.5" customHeight="1">
      <c r="A26" s="81"/>
      <c r="B26" s="8"/>
      <c r="C26" s="8"/>
      <c r="D26" s="8"/>
      <c r="E26" s="8"/>
      <c r="F26" s="8"/>
      <c r="G26" s="8"/>
      <c r="H26" s="8"/>
      <c r="I26" s="8"/>
      <c r="J26" s="8"/>
      <c r="K26" s="82"/>
    </row>
    <row r="27" spans="1:14" ht="7.5" customHeight="1">
      <c r="A27" s="81"/>
      <c r="B27" s="8"/>
      <c r="C27" s="8"/>
      <c r="D27" s="8"/>
      <c r="E27" s="8"/>
      <c r="F27" s="8"/>
      <c r="G27" s="8"/>
      <c r="H27" s="8"/>
      <c r="I27" s="8"/>
      <c r="J27" s="8"/>
      <c r="K27" s="82"/>
      <c r="N27" s="1" t="s">
        <v>4</v>
      </c>
    </row>
    <row r="28" spans="1:14" ht="16.5" customHeight="1">
      <c r="A28" s="81"/>
      <c r="B28" s="931"/>
      <c r="C28" s="932"/>
      <c r="D28" s="932"/>
      <c r="E28" s="933"/>
      <c r="F28" s="931"/>
      <c r="G28" s="932"/>
      <c r="H28" s="932"/>
      <c r="I28" s="932"/>
      <c r="J28" s="933"/>
      <c r="K28" s="82"/>
      <c r="N28" s="1" t="s">
        <v>55</v>
      </c>
    </row>
    <row r="29" spans="1:14" ht="16.5" customHeight="1">
      <c r="A29" s="81"/>
      <c r="B29" s="934"/>
      <c r="C29" s="935"/>
      <c r="D29" s="935"/>
      <c r="E29" s="936"/>
      <c r="F29" s="934"/>
      <c r="G29" s="935"/>
      <c r="H29" s="935"/>
      <c r="I29" s="935"/>
      <c r="J29" s="936"/>
      <c r="K29" s="82"/>
      <c r="N29" s="1" t="s">
        <v>3</v>
      </c>
    </row>
    <row r="30" spans="1:14" ht="16.5" customHeight="1">
      <c r="A30" s="81"/>
      <c r="B30" s="934"/>
      <c r="C30" s="935"/>
      <c r="D30" s="935"/>
      <c r="E30" s="936"/>
      <c r="F30" s="934"/>
      <c r="G30" s="935"/>
      <c r="H30" s="935"/>
      <c r="I30" s="935"/>
      <c r="J30" s="936"/>
      <c r="K30" s="82"/>
    </row>
    <row r="31" spans="1:14" ht="16.5" customHeight="1">
      <c r="A31" s="81"/>
      <c r="B31" s="934"/>
      <c r="C31" s="935"/>
      <c r="D31" s="935"/>
      <c r="E31" s="936"/>
      <c r="F31" s="934"/>
      <c r="G31" s="935"/>
      <c r="H31" s="935"/>
      <c r="I31" s="935"/>
      <c r="J31" s="936"/>
      <c r="K31" s="82"/>
      <c r="N31" s="1" t="s">
        <v>5</v>
      </c>
    </row>
    <row r="32" spans="1:14" ht="16.5" customHeight="1">
      <c r="A32" s="81"/>
      <c r="B32" s="934"/>
      <c r="C32" s="935"/>
      <c r="D32" s="935"/>
      <c r="E32" s="936"/>
      <c r="F32" s="934"/>
      <c r="G32" s="935"/>
      <c r="H32" s="935"/>
      <c r="I32" s="935"/>
      <c r="J32" s="936"/>
      <c r="K32" s="82"/>
      <c r="N32" s="1" t="s">
        <v>56</v>
      </c>
    </row>
    <row r="33" spans="1:14" ht="16.5" customHeight="1">
      <c r="A33" s="81"/>
      <c r="B33" s="934"/>
      <c r="C33" s="935"/>
      <c r="D33" s="935"/>
      <c r="E33" s="936"/>
      <c r="F33" s="934"/>
      <c r="G33" s="935"/>
      <c r="H33" s="935"/>
      <c r="I33" s="935"/>
      <c r="J33" s="936"/>
      <c r="K33" s="82"/>
      <c r="N33" s="1" t="s">
        <v>6</v>
      </c>
    </row>
    <row r="34" spans="1:14" ht="16.5" customHeight="1">
      <c r="A34" s="81"/>
      <c r="B34" s="934"/>
      <c r="C34" s="935"/>
      <c r="D34" s="935"/>
      <c r="E34" s="936"/>
      <c r="F34" s="934"/>
      <c r="G34" s="935"/>
      <c r="H34" s="935"/>
      <c r="I34" s="935"/>
      <c r="J34" s="936"/>
      <c r="K34" s="82"/>
      <c r="N34" s="1" t="s">
        <v>57</v>
      </c>
    </row>
    <row r="35" spans="1:14" ht="16.5" customHeight="1">
      <c r="A35" s="81"/>
      <c r="B35" s="934"/>
      <c r="C35" s="935"/>
      <c r="D35" s="935"/>
      <c r="E35" s="936"/>
      <c r="F35" s="934"/>
      <c r="G35" s="935"/>
      <c r="H35" s="935"/>
      <c r="I35" s="935"/>
      <c r="J35" s="936"/>
      <c r="K35" s="82"/>
      <c r="N35" s="1" t="s">
        <v>7</v>
      </c>
    </row>
    <row r="36" spans="1:14" ht="16.5" customHeight="1">
      <c r="A36" s="81"/>
      <c r="B36" s="934"/>
      <c r="C36" s="935"/>
      <c r="D36" s="935"/>
      <c r="E36" s="936"/>
      <c r="F36" s="934"/>
      <c r="G36" s="935"/>
      <c r="H36" s="935"/>
      <c r="I36" s="935"/>
      <c r="J36" s="936"/>
      <c r="K36" s="82"/>
    </row>
    <row r="37" spans="1:14" ht="16.5" customHeight="1">
      <c r="A37" s="81"/>
      <c r="B37" s="937"/>
      <c r="C37" s="938"/>
      <c r="D37" s="938"/>
      <c r="E37" s="939"/>
      <c r="F37" s="937"/>
      <c r="G37" s="938"/>
      <c r="H37" s="938"/>
      <c r="I37" s="938"/>
      <c r="J37" s="939"/>
      <c r="K37" s="82"/>
    </row>
    <row r="38" spans="1:14" ht="7.5" customHeight="1">
      <c r="A38" s="81"/>
      <c r="B38" s="8"/>
      <c r="C38" s="8"/>
      <c r="D38" s="8"/>
      <c r="E38" s="8"/>
      <c r="F38" s="8"/>
      <c r="G38" s="8"/>
      <c r="H38" s="8"/>
      <c r="I38" s="8"/>
      <c r="J38" s="8"/>
      <c r="K38" s="82"/>
    </row>
    <row r="39" spans="1:14" ht="16.5" customHeight="1">
      <c r="A39" s="81"/>
      <c r="B39" s="928" t="s">
        <v>108</v>
      </c>
      <c r="C39" s="929"/>
      <c r="D39" s="929"/>
      <c r="E39" s="930"/>
      <c r="F39" s="928" t="s">
        <v>963</v>
      </c>
      <c r="G39" s="929"/>
      <c r="H39" s="929"/>
      <c r="I39" s="929"/>
      <c r="J39" s="930"/>
      <c r="K39" s="82"/>
      <c r="N39" s="1" t="s">
        <v>58</v>
      </c>
    </row>
    <row r="40" spans="1:14" ht="7.5" customHeight="1">
      <c r="A40" s="81"/>
      <c r="B40" s="8"/>
      <c r="C40" s="8"/>
      <c r="D40" s="8"/>
      <c r="E40" s="8"/>
      <c r="F40" s="8"/>
      <c r="G40" s="8"/>
      <c r="H40" s="8"/>
      <c r="I40" s="8"/>
      <c r="J40" s="8"/>
      <c r="K40" s="82"/>
    </row>
    <row r="41" spans="1:14" ht="7.5" customHeight="1">
      <c r="A41" s="81"/>
      <c r="B41" s="15"/>
      <c r="C41" s="15"/>
      <c r="D41" s="15"/>
      <c r="E41" s="15"/>
      <c r="F41" s="15"/>
      <c r="G41" s="15"/>
      <c r="H41" s="15"/>
      <c r="I41" s="15"/>
      <c r="J41" s="15"/>
      <c r="K41" s="82"/>
      <c r="N41" s="1" t="s">
        <v>59</v>
      </c>
    </row>
    <row r="42" spans="1:14" ht="16.5" customHeight="1">
      <c r="A42" s="81"/>
      <c r="B42" s="931"/>
      <c r="C42" s="932"/>
      <c r="D42" s="932"/>
      <c r="E42" s="933"/>
      <c r="F42" s="931"/>
      <c r="G42" s="932"/>
      <c r="H42" s="932"/>
      <c r="I42" s="932"/>
      <c r="J42" s="933"/>
      <c r="K42" s="82"/>
    </row>
    <row r="43" spans="1:14" ht="16.5" customHeight="1">
      <c r="A43" s="81"/>
      <c r="B43" s="934"/>
      <c r="C43" s="935"/>
      <c r="D43" s="935"/>
      <c r="E43" s="936"/>
      <c r="F43" s="934"/>
      <c r="G43" s="935"/>
      <c r="H43" s="935"/>
      <c r="I43" s="935"/>
      <c r="J43" s="936"/>
      <c r="K43" s="82"/>
      <c r="N43" s="1" t="s">
        <v>60</v>
      </c>
    </row>
    <row r="44" spans="1:14" ht="16.5" customHeight="1">
      <c r="A44" s="81"/>
      <c r="B44" s="934"/>
      <c r="C44" s="935"/>
      <c r="D44" s="935"/>
      <c r="E44" s="936"/>
      <c r="F44" s="934"/>
      <c r="G44" s="935"/>
      <c r="H44" s="935"/>
      <c r="I44" s="935"/>
      <c r="J44" s="936"/>
      <c r="K44" s="82"/>
      <c r="N44" s="1" t="s">
        <v>61</v>
      </c>
    </row>
    <row r="45" spans="1:14" ht="16.5" customHeight="1">
      <c r="A45" s="81"/>
      <c r="B45" s="934"/>
      <c r="C45" s="935"/>
      <c r="D45" s="935"/>
      <c r="E45" s="936"/>
      <c r="F45" s="934"/>
      <c r="G45" s="935"/>
      <c r="H45" s="935"/>
      <c r="I45" s="935"/>
      <c r="J45" s="936"/>
      <c r="K45" s="82"/>
    </row>
    <row r="46" spans="1:14" ht="16.5" customHeight="1">
      <c r="A46" s="81"/>
      <c r="B46" s="934"/>
      <c r="C46" s="935"/>
      <c r="D46" s="935"/>
      <c r="E46" s="936"/>
      <c r="F46" s="934"/>
      <c r="G46" s="935"/>
      <c r="H46" s="935"/>
      <c r="I46" s="935"/>
      <c r="J46" s="936"/>
      <c r="K46" s="82"/>
    </row>
    <row r="47" spans="1:14" ht="16.5" customHeight="1">
      <c r="A47" s="81"/>
      <c r="B47" s="934"/>
      <c r="C47" s="935"/>
      <c r="D47" s="935"/>
      <c r="E47" s="936"/>
      <c r="F47" s="934"/>
      <c r="G47" s="935"/>
      <c r="H47" s="935"/>
      <c r="I47" s="935"/>
      <c r="J47" s="936"/>
      <c r="K47" s="82"/>
    </row>
    <row r="48" spans="1:14" ht="16.5" customHeight="1">
      <c r="A48" s="81"/>
      <c r="B48" s="934"/>
      <c r="C48" s="935"/>
      <c r="D48" s="935"/>
      <c r="E48" s="936"/>
      <c r="F48" s="934"/>
      <c r="G48" s="935"/>
      <c r="H48" s="935"/>
      <c r="I48" s="935"/>
      <c r="J48" s="936"/>
      <c r="K48" s="82"/>
    </row>
    <row r="49" spans="1:11" ht="16.5" customHeight="1">
      <c r="A49" s="81"/>
      <c r="B49" s="934"/>
      <c r="C49" s="935"/>
      <c r="D49" s="935"/>
      <c r="E49" s="936"/>
      <c r="F49" s="934"/>
      <c r="G49" s="935"/>
      <c r="H49" s="935"/>
      <c r="I49" s="935"/>
      <c r="J49" s="936"/>
      <c r="K49" s="82"/>
    </row>
    <row r="50" spans="1:11" ht="16.5" customHeight="1">
      <c r="A50" s="81"/>
      <c r="B50" s="934"/>
      <c r="C50" s="935"/>
      <c r="D50" s="935"/>
      <c r="E50" s="936"/>
      <c r="F50" s="934"/>
      <c r="G50" s="935"/>
      <c r="H50" s="935"/>
      <c r="I50" s="935"/>
      <c r="J50" s="936"/>
      <c r="K50" s="82"/>
    </row>
    <row r="51" spans="1:11" ht="16.5" customHeight="1">
      <c r="A51" s="81"/>
      <c r="B51" s="937"/>
      <c r="C51" s="938"/>
      <c r="D51" s="938"/>
      <c r="E51" s="939"/>
      <c r="F51" s="937"/>
      <c r="G51" s="938"/>
      <c r="H51" s="938"/>
      <c r="I51" s="938"/>
      <c r="J51" s="939"/>
      <c r="K51" s="82"/>
    </row>
    <row r="52" spans="1:11" ht="7.5" customHeight="1">
      <c r="A52" s="81"/>
      <c r="B52" s="8"/>
      <c r="C52" s="8"/>
      <c r="D52" s="8"/>
      <c r="E52" s="8"/>
      <c r="F52" s="8"/>
      <c r="G52" s="8"/>
      <c r="H52" s="8"/>
      <c r="I52" s="8"/>
      <c r="J52" s="8"/>
      <c r="K52" s="82"/>
    </row>
    <row r="53" spans="1:11" ht="16.5" customHeight="1">
      <c r="A53" s="81"/>
      <c r="B53" s="928" t="s">
        <v>964</v>
      </c>
      <c r="C53" s="929"/>
      <c r="D53" s="929"/>
      <c r="E53" s="930"/>
      <c r="F53" s="928"/>
      <c r="G53" s="929"/>
      <c r="H53" s="929"/>
      <c r="I53" s="929"/>
      <c r="J53" s="930"/>
      <c r="K53" s="82"/>
    </row>
    <row r="54" spans="1:11" ht="16.5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6.5" customHeight="1">
      <c r="B55" s="12"/>
      <c r="C55" s="12"/>
      <c r="D55" s="12"/>
      <c r="E55" s="12"/>
      <c r="F55" s="12"/>
      <c r="G55" s="12"/>
      <c r="H55" s="12"/>
      <c r="I55" s="12"/>
      <c r="J55" s="12"/>
    </row>
    <row r="56" spans="1:11" ht="16.5" customHeight="1">
      <c r="B56" s="11"/>
      <c r="C56" s="11"/>
      <c r="D56" s="11"/>
      <c r="E56" s="11"/>
      <c r="F56" s="11"/>
      <c r="G56" s="11"/>
      <c r="H56" s="11"/>
      <c r="I56" s="11"/>
      <c r="J56" s="13"/>
    </row>
    <row r="57" spans="1:11" ht="16.5" customHeight="1"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16.5" customHeight="1"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16.5" customHeight="1"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16.5" customHeight="1">
      <c r="B60" s="13"/>
      <c r="C60" s="13"/>
      <c r="D60" s="13"/>
      <c r="E60" s="13"/>
      <c r="F60" s="13"/>
      <c r="G60" s="13"/>
      <c r="H60" s="13"/>
      <c r="I60" s="13"/>
      <c r="J60" s="13"/>
    </row>
  </sheetData>
  <mergeCells count="30">
    <mergeCell ref="D1:G1"/>
    <mergeCell ref="H9:J9"/>
    <mergeCell ref="H8:J8"/>
    <mergeCell ref="H6:J6"/>
    <mergeCell ref="H5:J5"/>
    <mergeCell ref="H2:I2"/>
    <mergeCell ref="H1:I1"/>
    <mergeCell ref="B9:F9"/>
    <mergeCell ref="E3:J3"/>
    <mergeCell ref="B8:F8"/>
    <mergeCell ref="B6:G6"/>
    <mergeCell ref="B5:G5"/>
    <mergeCell ref="B53:E53"/>
    <mergeCell ref="F53:J53"/>
    <mergeCell ref="B42:E51"/>
    <mergeCell ref="F42:J51"/>
    <mergeCell ref="H11:J11"/>
    <mergeCell ref="B25:E25"/>
    <mergeCell ref="F39:J39"/>
    <mergeCell ref="D11:F11"/>
    <mergeCell ref="D10:F10"/>
    <mergeCell ref="B10:C10"/>
    <mergeCell ref="B11:C11"/>
    <mergeCell ref="B39:E39"/>
    <mergeCell ref="F14:J23"/>
    <mergeCell ref="B28:E37"/>
    <mergeCell ref="F28:J37"/>
    <mergeCell ref="B14:E23"/>
    <mergeCell ref="F25:J25"/>
    <mergeCell ref="H10:J10"/>
  </mergeCells>
  <phoneticPr fontId="5" type="noConversion"/>
  <printOptions horizontalCentered="1" verticalCentered="1"/>
  <pageMargins left="0.27" right="0.25" top="0.27559055118110237" bottom="0.39370078740157483" header="0" footer="0"/>
  <pageSetup paperSize="9" scale="10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view="pageBreakPreview" zoomScaleNormal="100" zoomScaleSheetLayoutView="100" workbookViewId="0">
      <selection activeCell="Z26" sqref="Z26"/>
    </sheetView>
  </sheetViews>
  <sheetFormatPr defaultRowHeight="12.75"/>
  <cols>
    <col min="1" max="1" width="1.140625" style="39" customWidth="1"/>
    <col min="2" max="2" width="9.140625" style="39"/>
    <col min="3" max="3" width="3" style="39" customWidth="1"/>
    <col min="4" max="5" width="3.28515625" style="39" customWidth="1"/>
    <col min="6" max="6" width="2.28515625" style="39" customWidth="1"/>
    <col min="7" max="8" width="3.28515625" style="39" customWidth="1"/>
    <col min="9" max="9" width="6.42578125" style="39" customWidth="1"/>
    <col min="10" max="10" width="5.28515625" style="39" customWidth="1"/>
    <col min="11" max="12" width="3.28515625" style="39" customWidth="1"/>
    <col min="13" max="13" width="3.85546875" style="39" customWidth="1"/>
    <col min="14" max="14" width="3.7109375" style="39" customWidth="1"/>
    <col min="15" max="15" width="3.85546875" style="39" customWidth="1"/>
    <col min="16" max="16" width="3.28515625" style="39" customWidth="1"/>
    <col min="17" max="17" width="2.5703125" style="39" customWidth="1"/>
    <col min="18" max="19" width="3.28515625" style="39" customWidth="1"/>
    <col min="20" max="20" width="4.5703125" style="39" customWidth="1"/>
    <col min="21" max="21" width="4.85546875" style="39" customWidth="1"/>
    <col min="22" max="22" width="4.42578125" style="43" hidden="1" customWidth="1"/>
    <col min="23" max="23" width="1.28515625" style="44" customWidth="1"/>
    <col min="24" max="24" width="1" style="186" customWidth="1"/>
    <col min="25" max="25" width="9.140625" style="45"/>
    <col min="26" max="16384" width="9.140625" style="39"/>
  </cols>
  <sheetData>
    <row r="1" spans="1:24" s="39" customFormat="1" ht="7.5" customHeight="1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3"/>
      <c r="X1" s="186"/>
    </row>
    <row r="2" spans="1:24" s="39" customFormat="1">
      <c r="A2" s="144"/>
      <c r="B2" s="43"/>
      <c r="C2" s="43"/>
      <c r="D2" s="43"/>
      <c r="E2" s="43"/>
      <c r="F2" s="43"/>
      <c r="G2" s="43"/>
      <c r="H2" s="43"/>
      <c r="I2" s="43"/>
      <c r="J2" s="43"/>
      <c r="K2" s="924" t="s">
        <v>218</v>
      </c>
      <c r="L2" s="925"/>
      <c r="M2" s="925"/>
      <c r="N2" s="925"/>
      <c r="O2" s="925"/>
      <c r="P2" s="925"/>
      <c r="Q2" s="925"/>
      <c r="R2" s="925"/>
      <c r="S2" s="925"/>
      <c r="T2" s="925"/>
      <c r="U2" s="926"/>
      <c r="V2" s="43"/>
      <c r="W2" s="145"/>
      <c r="X2" s="186"/>
    </row>
    <row r="3" spans="1:24" s="39" customFormat="1" ht="5.25" customHeight="1" thickBot="1">
      <c r="A3" s="1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45"/>
      <c r="X3" s="186"/>
    </row>
    <row r="4" spans="1:24" s="39" customFormat="1" ht="12.75" customHeight="1" thickTop="1" thickBot="1">
      <c r="A4" s="146"/>
      <c r="B4" s="971" t="s">
        <v>131</v>
      </c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42"/>
      <c r="R4" s="973" t="s">
        <v>68</v>
      </c>
      <c r="S4" s="974"/>
      <c r="T4" s="975"/>
      <c r="U4" s="976"/>
      <c r="V4" s="43"/>
      <c r="W4" s="145"/>
      <c r="X4" s="186"/>
    </row>
    <row r="5" spans="1:24" s="39" customFormat="1" ht="12.75" customHeight="1">
      <c r="A5" s="146"/>
      <c r="B5" s="977" t="s">
        <v>121</v>
      </c>
      <c r="C5" s="969"/>
      <c r="D5" s="978"/>
      <c r="E5" s="979"/>
      <c r="F5" s="979"/>
      <c r="G5" s="979"/>
      <c r="H5" s="979"/>
      <c r="I5" s="979"/>
      <c r="J5" s="979"/>
      <c r="K5" s="980" t="s">
        <v>149</v>
      </c>
      <c r="L5" s="981"/>
      <c r="M5" s="981"/>
      <c r="N5" s="981"/>
      <c r="O5" s="981"/>
      <c r="P5" s="982"/>
      <c r="Q5" s="983">
        <v>0</v>
      </c>
      <c r="R5" s="983"/>
      <c r="S5" s="983"/>
      <c r="T5" s="983"/>
      <c r="U5" s="984"/>
      <c r="V5" s="43"/>
      <c r="W5" s="145"/>
      <c r="X5" s="187">
        <f>IF(Q5&gt;2,100,0)</f>
        <v>0</v>
      </c>
    </row>
    <row r="6" spans="1:24" s="39" customFormat="1" ht="12.75" customHeight="1">
      <c r="A6" s="146"/>
      <c r="B6" s="46" t="s">
        <v>122</v>
      </c>
      <c r="C6" s="962" t="s">
        <v>270</v>
      </c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43"/>
      <c r="W6" s="145"/>
      <c r="X6" s="188"/>
    </row>
    <row r="7" spans="1:24" s="39" customFormat="1" ht="12.75" customHeight="1" thickBot="1">
      <c r="A7" s="146"/>
      <c r="B7" s="47" t="s">
        <v>123</v>
      </c>
      <c r="C7" s="952"/>
      <c r="D7" s="952"/>
      <c r="E7" s="952"/>
      <c r="F7" s="952"/>
      <c r="G7" s="952"/>
      <c r="H7" s="952"/>
      <c r="I7" s="952"/>
      <c r="J7" s="952"/>
      <c r="K7" s="953" t="s">
        <v>124</v>
      </c>
      <c r="L7" s="951"/>
      <c r="M7" s="952"/>
      <c r="N7" s="952"/>
      <c r="O7" s="952"/>
      <c r="P7" s="952"/>
      <c r="Q7" s="952"/>
      <c r="R7" s="952"/>
      <c r="S7" s="952"/>
      <c r="T7" s="48" t="s">
        <v>125</v>
      </c>
      <c r="U7" s="27"/>
      <c r="V7" s="43"/>
      <c r="W7" s="145"/>
      <c r="X7" s="188"/>
    </row>
    <row r="8" spans="1:24" s="39" customFormat="1" ht="12.75" customHeight="1">
      <c r="A8" s="146"/>
      <c r="B8" s="49" t="s">
        <v>127</v>
      </c>
      <c r="C8" s="967" t="s">
        <v>203</v>
      </c>
      <c r="D8" s="967"/>
      <c r="E8" s="967"/>
      <c r="F8" s="967"/>
      <c r="G8" s="967"/>
      <c r="H8" s="967"/>
      <c r="I8" s="967"/>
      <c r="J8" s="967"/>
      <c r="K8" s="968" t="s">
        <v>128</v>
      </c>
      <c r="L8" s="969"/>
      <c r="M8" s="969"/>
      <c r="N8" s="969"/>
      <c r="O8" s="969"/>
      <c r="P8" s="970"/>
      <c r="Q8" s="970"/>
      <c r="R8" s="970"/>
      <c r="S8" s="970"/>
      <c r="T8" s="970"/>
      <c r="U8" s="970"/>
      <c r="V8" s="43"/>
      <c r="W8" s="145"/>
      <c r="X8" s="188"/>
    </row>
    <row r="9" spans="1:24" s="39" customFormat="1" ht="12.75" customHeight="1">
      <c r="A9" s="146"/>
      <c r="B9" s="958" t="s">
        <v>130</v>
      </c>
      <c r="C9" s="959"/>
      <c r="D9" s="959"/>
      <c r="E9" s="959"/>
      <c r="F9" s="960" t="s">
        <v>5</v>
      </c>
      <c r="G9" s="960"/>
      <c r="H9" s="960"/>
      <c r="I9" s="960"/>
      <c r="J9" s="960"/>
      <c r="K9" s="961" t="s">
        <v>150</v>
      </c>
      <c r="L9" s="959"/>
      <c r="M9" s="959"/>
      <c r="N9" s="959"/>
      <c r="O9" s="959"/>
      <c r="P9" s="962"/>
      <c r="Q9" s="962"/>
      <c r="R9" s="962"/>
      <c r="S9" s="962"/>
      <c r="T9" s="962"/>
      <c r="U9" s="962"/>
      <c r="V9" s="43"/>
      <c r="W9" s="145"/>
      <c r="X9" s="188"/>
    </row>
    <row r="10" spans="1:24" s="39" customFormat="1" ht="12.75" customHeight="1">
      <c r="A10" s="146"/>
      <c r="B10" s="958" t="s">
        <v>146</v>
      </c>
      <c r="C10" s="959"/>
      <c r="D10" s="959"/>
      <c r="E10" s="959"/>
      <c r="F10" s="959"/>
      <c r="G10" s="963"/>
      <c r="H10" s="963"/>
      <c r="I10" s="963"/>
      <c r="J10" s="963"/>
      <c r="K10" s="964" t="s">
        <v>147</v>
      </c>
      <c r="L10" s="965"/>
      <c r="M10" s="965"/>
      <c r="N10" s="965"/>
      <c r="O10" s="965"/>
      <c r="P10" s="966"/>
      <c r="Q10" s="966"/>
      <c r="R10" s="966"/>
      <c r="S10" s="966"/>
      <c r="T10" s="966"/>
      <c r="U10" s="966"/>
      <c r="V10" s="43"/>
      <c r="W10" s="147" t="e">
        <f>G10/#REF!</f>
        <v>#REF!</v>
      </c>
      <c r="X10" s="189" t="e">
        <f>IF(W10&gt;0.49,IF(W10&lt;=2,0,100),100)</f>
        <v>#REF!</v>
      </c>
    </row>
    <row r="11" spans="1:24" s="39" customFormat="1" ht="12.75" customHeight="1" thickBot="1">
      <c r="A11" s="146"/>
      <c r="B11" s="950" t="s">
        <v>139</v>
      </c>
      <c r="C11" s="951"/>
      <c r="D11" s="951"/>
      <c r="E11" s="951"/>
      <c r="F11" s="951"/>
      <c r="G11" s="952"/>
      <c r="H11" s="952"/>
      <c r="I11" s="952"/>
      <c r="J11" s="952"/>
      <c r="K11" s="953" t="s">
        <v>129</v>
      </c>
      <c r="L11" s="951"/>
      <c r="M11" s="951"/>
      <c r="N11" s="951"/>
      <c r="O11" s="951"/>
      <c r="P11" s="954"/>
      <c r="Q11" s="954"/>
      <c r="R11" s="954"/>
      <c r="S11" s="954"/>
      <c r="T11" s="954"/>
      <c r="U11" s="954"/>
      <c r="V11" s="43"/>
      <c r="W11" s="145"/>
      <c r="X11" s="188"/>
    </row>
    <row r="12" spans="1:24" s="39" customFormat="1" ht="12.75" customHeight="1" thickBot="1">
      <c r="A12" s="146"/>
      <c r="B12" s="942" t="s">
        <v>151</v>
      </c>
      <c r="C12" s="943"/>
      <c r="D12" s="943"/>
      <c r="E12" s="943"/>
      <c r="F12" s="943"/>
      <c r="G12" s="955"/>
      <c r="H12" s="955"/>
      <c r="I12" s="955"/>
      <c r="J12" s="955"/>
      <c r="K12" s="947" t="s">
        <v>140</v>
      </c>
      <c r="L12" s="943"/>
      <c r="M12" s="943"/>
      <c r="N12" s="943"/>
      <c r="O12" s="943"/>
      <c r="P12" s="943"/>
      <c r="Q12" s="943"/>
      <c r="R12" s="956" t="e">
        <f>ROUND(G12/G10,2)</f>
        <v>#DIV/0!</v>
      </c>
      <c r="S12" s="956"/>
      <c r="T12" s="956"/>
      <c r="U12" s="957"/>
      <c r="V12" s="43"/>
      <c r="W12" s="145"/>
      <c r="X12" s="188"/>
    </row>
    <row r="13" spans="1:24" s="39" customFormat="1" ht="12.75" customHeight="1" thickBot="1">
      <c r="A13" s="146"/>
      <c r="B13" s="942" t="s">
        <v>126</v>
      </c>
      <c r="C13" s="943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47" t="s">
        <v>141</v>
      </c>
      <c r="P13" s="943"/>
      <c r="Q13" s="943"/>
      <c r="R13" s="943"/>
      <c r="S13" s="943"/>
      <c r="T13" s="985"/>
      <c r="U13" s="986"/>
      <c r="V13" s="43"/>
      <c r="W13" s="145"/>
      <c r="X13" s="188"/>
    </row>
    <row r="14" spans="1:24" s="39" customFormat="1" ht="12.75" customHeight="1" thickBot="1">
      <c r="A14" s="146"/>
      <c r="B14" s="949"/>
      <c r="C14" s="949"/>
      <c r="D14" s="949"/>
      <c r="E14" s="949"/>
      <c r="F14" s="949"/>
      <c r="G14" s="949"/>
      <c r="H14" s="949"/>
      <c r="I14" s="949"/>
      <c r="J14" s="949"/>
      <c r="K14" s="949"/>
      <c r="L14" s="949"/>
      <c r="M14" s="949"/>
      <c r="N14" s="949"/>
      <c r="O14" s="949"/>
      <c r="P14" s="949"/>
      <c r="Q14" s="949"/>
      <c r="R14" s="949"/>
      <c r="S14" s="949"/>
      <c r="T14" s="949"/>
      <c r="U14" s="949"/>
      <c r="V14" s="43"/>
      <c r="W14" s="145"/>
      <c r="X14" s="188"/>
    </row>
    <row r="15" spans="1:24" s="39" customFormat="1" ht="12.75" customHeight="1" thickTop="1" thickBot="1">
      <c r="A15" s="146"/>
      <c r="B15" s="949"/>
      <c r="C15" s="949"/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O15" s="949"/>
      <c r="P15" s="949"/>
      <c r="Q15" s="949"/>
      <c r="R15" s="949"/>
      <c r="S15" s="949"/>
      <c r="T15" s="949"/>
      <c r="U15" s="949"/>
      <c r="V15" s="43"/>
      <c r="W15" s="145"/>
      <c r="X15" s="188"/>
    </row>
    <row r="16" spans="1:24" s="39" customFormat="1" ht="6" customHeight="1" thickTop="1" thickBot="1">
      <c r="A16" s="146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145"/>
      <c r="X16" s="188"/>
    </row>
    <row r="17" spans="1:24" s="39" customFormat="1" ht="12.75" customHeight="1" thickTop="1" thickBot="1">
      <c r="A17" s="144"/>
      <c r="B17" s="971" t="s">
        <v>142</v>
      </c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42"/>
      <c r="R17" s="973" t="s">
        <v>68</v>
      </c>
      <c r="S17" s="974"/>
      <c r="T17" s="975"/>
      <c r="U17" s="976"/>
      <c r="V17" s="43"/>
      <c r="W17" s="145"/>
      <c r="X17" s="188"/>
    </row>
    <row r="18" spans="1:24" s="39" customFormat="1" ht="12.75" customHeight="1">
      <c r="A18" s="144"/>
      <c r="B18" s="977" t="s">
        <v>121</v>
      </c>
      <c r="C18" s="969"/>
      <c r="D18" s="978"/>
      <c r="E18" s="979"/>
      <c r="F18" s="979"/>
      <c r="G18" s="979"/>
      <c r="H18" s="979"/>
      <c r="I18" s="979"/>
      <c r="J18" s="979"/>
      <c r="K18" s="980" t="s">
        <v>149</v>
      </c>
      <c r="L18" s="981"/>
      <c r="M18" s="981"/>
      <c r="N18" s="981"/>
      <c r="O18" s="981"/>
      <c r="P18" s="982"/>
      <c r="Q18" s="983">
        <v>0</v>
      </c>
      <c r="R18" s="983"/>
      <c r="S18" s="983"/>
      <c r="T18" s="983"/>
      <c r="U18" s="984"/>
      <c r="V18" s="43"/>
      <c r="W18" s="145"/>
      <c r="X18" s="187">
        <f>IF(Q18&gt;2,100,0)</f>
        <v>0</v>
      </c>
    </row>
    <row r="19" spans="1:24" s="39" customFormat="1" ht="12.75" customHeight="1">
      <c r="A19" s="144"/>
      <c r="B19" s="46" t="s">
        <v>122</v>
      </c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43"/>
      <c r="W19" s="145"/>
      <c r="X19" s="188"/>
    </row>
    <row r="20" spans="1:24" s="39" customFormat="1" ht="12.75" customHeight="1" thickBot="1">
      <c r="A20" s="144"/>
      <c r="B20" s="47" t="s">
        <v>123</v>
      </c>
      <c r="C20" s="952"/>
      <c r="D20" s="952"/>
      <c r="E20" s="952"/>
      <c r="F20" s="952"/>
      <c r="G20" s="952"/>
      <c r="H20" s="952"/>
      <c r="I20" s="952"/>
      <c r="J20" s="952"/>
      <c r="K20" s="953" t="s">
        <v>124</v>
      </c>
      <c r="L20" s="951"/>
      <c r="M20" s="952"/>
      <c r="N20" s="952"/>
      <c r="O20" s="952"/>
      <c r="P20" s="952"/>
      <c r="Q20" s="952"/>
      <c r="R20" s="952"/>
      <c r="S20" s="952"/>
      <c r="T20" s="48" t="s">
        <v>125</v>
      </c>
      <c r="U20" s="27"/>
      <c r="V20" s="43"/>
      <c r="W20" s="145"/>
      <c r="X20" s="188"/>
    </row>
    <row r="21" spans="1:24" s="39" customFormat="1" ht="12.75" customHeight="1">
      <c r="A21" s="144"/>
      <c r="B21" s="49" t="s">
        <v>127</v>
      </c>
      <c r="C21" s="967" t="s">
        <v>203</v>
      </c>
      <c r="D21" s="967"/>
      <c r="E21" s="967"/>
      <c r="F21" s="967"/>
      <c r="G21" s="967"/>
      <c r="H21" s="967"/>
      <c r="I21" s="967"/>
      <c r="J21" s="967"/>
      <c r="K21" s="968" t="s">
        <v>128</v>
      </c>
      <c r="L21" s="969"/>
      <c r="M21" s="969"/>
      <c r="N21" s="969"/>
      <c r="O21" s="969"/>
      <c r="P21" s="970" t="s">
        <v>192</v>
      </c>
      <c r="Q21" s="970"/>
      <c r="R21" s="970"/>
      <c r="S21" s="970"/>
      <c r="T21" s="970"/>
      <c r="U21" s="970"/>
      <c r="V21" s="43"/>
      <c r="W21" s="145"/>
      <c r="X21" s="188"/>
    </row>
    <row r="22" spans="1:24" s="39" customFormat="1" ht="12.75" customHeight="1">
      <c r="A22" s="144"/>
      <c r="B22" s="958" t="s">
        <v>130</v>
      </c>
      <c r="C22" s="959"/>
      <c r="D22" s="959"/>
      <c r="E22" s="959"/>
      <c r="F22" s="989" t="s">
        <v>5</v>
      </c>
      <c r="G22" s="989"/>
      <c r="H22" s="989"/>
      <c r="I22" s="989"/>
      <c r="J22" s="990"/>
      <c r="K22" s="961" t="s">
        <v>150</v>
      </c>
      <c r="L22" s="959"/>
      <c r="M22" s="959"/>
      <c r="N22" s="959"/>
      <c r="O22" s="959"/>
      <c r="P22" s="962"/>
      <c r="Q22" s="962"/>
      <c r="R22" s="962"/>
      <c r="S22" s="962"/>
      <c r="T22" s="962"/>
      <c r="U22" s="962"/>
      <c r="V22" s="43"/>
      <c r="W22" s="145"/>
      <c r="X22" s="188"/>
    </row>
    <row r="23" spans="1:24" s="39" customFormat="1" ht="12.75" customHeight="1">
      <c r="A23" s="146"/>
      <c r="B23" s="958" t="s">
        <v>146</v>
      </c>
      <c r="C23" s="959"/>
      <c r="D23" s="959"/>
      <c r="E23" s="959"/>
      <c r="F23" s="959"/>
      <c r="G23" s="963"/>
      <c r="H23" s="963"/>
      <c r="I23" s="963"/>
      <c r="J23" s="963"/>
      <c r="K23" s="964" t="s">
        <v>147</v>
      </c>
      <c r="L23" s="965"/>
      <c r="M23" s="965"/>
      <c r="N23" s="965"/>
      <c r="O23" s="965"/>
      <c r="P23" s="966"/>
      <c r="Q23" s="966"/>
      <c r="R23" s="966"/>
      <c r="S23" s="966"/>
      <c r="T23" s="966"/>
      <c r="U23" s="966"/>
      <c r="V23" s="43"/>
      <c r="W23" s="147" t="e">
        <f>G23/#REF!</f>
        <v>#REF!</v>
      </c>
      <c r="X23" s="189" t="e">
        <f>IF(W23&gt;0.49,IF(W23&lt;=2,0,100),100)</f>
        <v>#REF!</v>
      </c>
    </row>
    <row r="24" spans="1:24" s="39" customFormat="1" ht="12.75" customHeight="1" thickBot="1">
      <c r="A24" s="144"/>
      <c r="B24" s="950" t="s">
        <v>139</v>
      </c>
      <c r="C24" s="951"/>
      <c r="D24" s="951"/>
      <c r="E24" s="951"/>
      <c r="F24" s="951"/>
      <c r="G24" s="952"/>
      <c r="H24" s="952"/>
      <c r="I24" s="952"/>
      <c r="J24" s="952"/>
      <c r="K24" s="953" t="s">
        <v>129</v>
      </c>
      <c r="L24" s="951"/>
      <c r="M24" s="951"/>
      <c r="N24" s="951"/>
      <c r="O24" s="951"/>
      <c r="P24" s="954"/>
      <c r="Q24" s="954"/>
      <c r="R24" s="954"/>
      <c r="S24" s="954"/>
      <c r="T24" s="954"/>
      <c r="U24" s="954"/>
      <c r="V24" s="43"/>
      <c r="W24" s="145"/>
      <c r="X24" s="188"/>
    </row>
    <row r="25" spans="1:24" s="39" customFormat="1" ht="12.75" customHeight="1" thickBot="1">
      <c r="A25" s="144"/>
      <c r="B25" s="942" t="s">
        <v>151</v>
      </c>
      <c r="C25" s="943"/>
      <c r="D25" s="943"/>
      <c r="E25" s="943"/>
      <c r="F25" s="943"/>
      <c r="G25" s="955"/>
      <c r="H25" s="955"/>
      <c r="I25" s="955"/>
      <c r="J25" s="955"/>
      <c r="K25" s="947" t="s">
        <v>140</v>
      </c>
      <c r="L25" s="943"/>
      <c r="M25" s="943"/>
      <c r="N25" s="943"/>
      <c r="O25" s="943"/>
      <c r="P25" s="943"/>
      <c r="Q25" s="943"/>
      <c r="R25" s="956" t="e">
        <f>ROUND(G25/G23,2)</f>
        <v>#DIV/0!</v>
      </c>
      <c r="S25" s="956"/>
      <c r="T25" s="956"/>
      <c r="U25" s="957"/>
      <c r="V25" s="43"/>
      <c r="W25" s="145"/>
      <c r="X25" s="188"/>
    </row>
    <row r="26" spans="1:24" s="39" customFormat="1" ht="12.75" customHeight="1" thickBot="1">
      <c r="A26" s="144"/>
      <c r="B26" s="942" t="s">
        <v>126</v>
      </c>
      <c r="C26" s="943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47" t="s">
        <v>141</v>
      </c>
      <c r="P26" s="943"/>
      <c r="Q26" s="943"/>
      <c r="R26" s="943"/>
      <c r="S26" s="943"/>
      <c r="T26" s="985"/>
      <c r="U26" s="986"/>
      <c r="V26" s="43"/>
      <c r="W26" s="145"/>
      <c r="X26" s="188"/>
    </row>
    <row r="27" spans="1:24" s="39" customFormat="1" ht="12.75" customHeight="1" thickBot="1">
      <c r="A27" s="144"/>
      <c r="B27" s="949"/>
      <c r="C27" s="949"/>
      <c r="D27" s="949"/>
      <c r="E27" s="949"/>
      <c r="F27" s="949"/>
      <c r="G27" s="949"/>
      <c r="H27" s="949"/>
      <c r="I27" s="949"/>
      <c r="J27" s="949"/>
      <c r="K27" s="949"/>
      <c r="L27" s="949"/>
      <c r="M27" s="949"/>
      <c r="N27" s="949"/>
      <c r="O27" s="949"/>
      <c r="P27" s="949"/>
      <c r="Q27" s="949"/>
      <c r="R27" s="949"/>
      <c r="S27" s="949"/>
      <c r="T27" s="949"/>
      <c r="U27" s="949"/>
      <c r="V27" s="43"/>
      <c r="W27" s="145"/>
      <c r="X27" s="188"/>
    </row>
    <row r="28" spans="1:24" s="39" customFormat="1" ht="12.75" customHeight="1" thickTop="1" thickBot="1">
      <c r="A28" s="144"/>
      <c r="B28" s="949"/>
      <c r="C28" s="949"/>
      <c r="D28" s="949"/>
      <c r="E28" s="949"/>
      <c r="F28" s="949"/>
      <c r="G28" s="949"/>
      <c r="H28" s="949"/>
      <c r="I28" s="949"/>
      <c r="J28" s="949"/>
      <c r="K28" s="949"/>
      <c r="L28" s="949"/>
      <c r="M28" s="949"/>
      <c r="N28" s="949"/>
      <c r="O28" s="949"/>
      <c r="P28" s="949"/>
      <c r="Q28" s="949"/>
      <c r="R28" s="949"/>
      <c r="S28" s="949"/>
      <c r="T28" s="949"/>
      <c r="U28" s="949"/>
      <c r="V28" s="43"/>
      <c r="W28" s="145"/>
      <c r="X28" s="188"/>
    </row>
    <row r="29" spans="1:24" s="39" customFormat="1" ht="6" customHeight="1" thickTop="1" thickBot="1">
      <c r="A29" s="144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145"/>
      <c r="X29" s="188"/>
    </row>
    <row r="30" spans="1:24" s="39" customFormat="1" ht="12.75" customHeight="1" thickTop="1" thickBot="1">
      <c r="A30" s="144"/>
      <c r="B30" s="971" t="s">
        <v>143</v>
      </c>
      <c r="C30" s="972"/>
      <c r="D30" s="972"/>
      <c r="E30" s="972"/>
      <c r="F30" s="972"/>
      <c r="G30" s="972"/>
      <c r="H30" s="972"/>
      <c r="I30" s="972"/>
      <c r="J30" s="972"/>
      <c r="K30" s="972"/>
      <c r="L30" s="972"/>
      <c r="M30" s="972"/>
      <c r="N30" s="972"/>
      <c r="O30" s="972"/>
      <c r="P30" s="972"/>
      <c r="Q30" s="42"/>
      <c r="R30" s="973" t="s">
        <v>68</v>
      </c>
      <c r="S30" s="974"/>
      <c r="T30" s="975"/>
      <c r="U30" s="976"/>
      <c r="V30" s="43"/>
      <c r="W30" s="145"/>
      <c r="X30" s="188"/>
    </row>
    <row r="31" spans="1:24" s="39" customFormat="1" ht="12.75" customHeight="1">
      <c r="A31" s="144"/>
      <c r="B31" s="977" t="s">
        <v>121</v>
      </c>
      <c r="C31" s="969"/>
      <c r="D31" s="978"/>
      <c r="E31" s="979"/>
      <c r="F31" s="979"/>
      <c r="G31" s="979"/>
      <c r="H31" s="979"/>
      <c r="I31" s="979"/>
      <c r="J31" s="979"/>
      <c r="K31" s="980" t="s">
        <v>149</v>
      </c>
      <c r="L31" s="981"/>
      <c r="M31" s="981"/>
      <c r="N31" s="981"/>
      <c r="O31" s="981"/>
      <c r="P31" s="982"/>
      <c r="Q31" s="983"/>
      <c r="R31" s="983"/>
      <c r="S31" s="983"/>
      <c r="T31" s="983"/>
      <c r="U31" s="984"/>
      <c r="V31" s="43"/>
      <c r="W31" s="145"/>
      <c r="X31" s="187">
        <f>IF(Q31&gt;2,100,0)</f>
        <v>0</v>
      </c>
    </row>
    <row r="32" spans="1:24" s="39" customFormat="1" ht="12.75" customHeight="1">
      <c r="A32" s="144"/>
      <c r="B32" s="46" t="s">
        <v>122</v>
      </c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43"/>
      <c r="W32" s="145"/>
      <c r="X32" s="188"/>
    </row>
    <row r="33" spans="1:24" s="39" customFormat="1" ht="12.75" customHeight="1" thickBot="1">
      <c r="A33" s="144"/>
      <c r="B33" s="47" t="s">
        <v>123</v>
      </c>
      <c r="C33" s="952"/>
      <c r="D33" s="952"/>
      <c r="E33" s="952"/>
      <c r="F33" s="952"/>
      <c r="G33" s="952"/>
      <c r="H33" s="952"/>
      <c r="I33" s="952"/>
      <c r="J33" s="952"/>
      <c r="K33" s="953" t="s">
        <v>124</v>
      </c>
      <c r="L33" s="951"/>
      <c r="M33" s="952"/>
      <c r="N33" s="952"/>
      <c r="O33" s="952"/>
      <c r="P33" s="952"/>
      <c r="Q33" s="952"/>
      <c r="R33" s="952"/>
      <c r="S33" s="952"/>
      <c r="T33" s="48" t="s">
        <v>125</v>
      </c>
      <c r="U33" s="27"/>
      <c r="V33" s="43"/>
      <c r="W33" s="145"/>
      <c r="X33" s="188"/>
    </row>
    <row r="34" spans="1:24" s="39" customFormat="1" ht="12.75" customHeight="1">
      <c r="A34" s="144"/>
      <c r="B34" s="49" t="s">
        <v>127</v>
      </c>
      <c r="C34" s="967"/>
      <c r="D34" s="967"/>
      <c r="E34" s="967"/>
      <c r="F34" s="967"/>
      <c r="G34" s="967"/>
      <c r="H34" s="967"/>
      <c r="I34" s="967"/>
      <c r="J34" s="967"/>
      <c r="K34" s="968" t="s">
        <v>128</v>
      </c>
      <c r="L34" s="969"/>
      <c r="M34" s="969"/>
      <c r="N34" s="969"/>
      <c r="O34" s="969"/>
      <c r="P34" s="970" t="s">
        <v>192</v>
      </c>
      <c r="Q34" s="970"/>
      <c r="R34" s="970"/>
      <c r="S34" s="970"/>
      <c r="T34" s="970"/>
      <c r="U34" s="970"/>
      <c r="V34" s="43"/>
      <c r="W34" s="145"/>
      <c r="X34" s="188"/>
    </row>
    <row r="35" spans="1:24" s="39" customFormat="1" ht="12.75" customHeight="1">
      <c r="A35" s="144"/>
      <c r="B35" s="958" t="s">
        <v>130</v>
      </c>
      <c r="C35" s="959"/>
      <c r="D35" s="959"/>
      <c r="E35" s="959"/>
      <c r="F35" s="987"/>
      <c r="G35" s="987"/>
      <c r="H35" s="987"/>
      <c r="I35" s="987"/>
      <c r="J35" s="987"/>
      <c r="K35" s="961" t="s">
        <v>150</v>
      </c>
      <c r="L35" s="959"/>
      <c r="M35" s="959"/>
      <c r="N35" s="959"/>
      <c r="O35" s="959"/>
      <c r="P35" s="962"/>
      <c r="Q35" s="962"/>
      <c r="R35" s="962"/>
      <c r="S35" s="962"/>
      <c r="T35" s="962"/>
      <c r="U35" s="962"/>
      <c r="V35" s="43"/>
      <c r="W35" s="145"/>
      <c r="X35" s="188"/>
    </row>
    <row r="36" spans="1:24" s="39" customFormat="1" ht="12.75" customHeight="1">
      <c r="A36" s="146"/>
      <c r="B36" s="958" t="s">
        <v>146</v>
      </c>
      <c r="C36" s="959"/>
      <c r="D36" s="959"/>
      <c r="E36" s="959"/>
      <c r="F36" s="959"/>
      <c r="G36" s="963"/>
      <c r="H36" s="963"/>
      <c r="I36" s="963"/>
      <c r="J36" s="963"/>
      <c r="K36" s="964" t="s">
        <v>147</v>
      </c>
      <c r="L36" s="965"/>
      <c r="M36" s="965"/>
      <c r="N36" s="965"/>
      <c r="O36" s="965"/>
      <c r="P36" s="966"/>
      <c r="Q36" s="966"/>
      <c r="R36" s="966"/>
      <c r="S36" s="966"/>
      <c r="T36" s="966"/>
      <c r="U36" s="966"/>
      <c r="V36" s="43"/>
      <c r="W36" s="147" t="e">
        <f>G36/#REF!</f>
        <v>#REF!</v>
      </c>
      <c r="X36" s="189" t="e">
        <f>IF(W36&gt;0.49,IF(W36&lt;=2,0,100),100)</f>
        <v>#REF!</v>
      </c>
    </row>
    <row r="37" spans="1:24" s="39" customFormat="1" ht="12.75" customHeight="1" thickBot="1">
      <c r="A37" s="144"/>
      <c r="B37" s="950" t="s">
        <v>139</v>
      </c>
      <c r="C37" s="951"/>
      <c r="D37" s="951"/>
      <c r="E37" s="951"/>
      <c r="F37" s="951"/>
      <c r="G37" s="952"/>
      <c r="H37" s="952"/>
      <c r="I37" s="952"/>
      <c r="J37" s="952"/>
      <c r="K37" s="953" t="s">
        <v>129</v>
      </c>
      <c r="L37" s="951"/>
      <c r="M37" s="951"/>
      <c r="N37" s="951"/>
      <c r="O37" s="951"/>
      <c r="P37" s="954"/>
      <c r="Q37" s="954"/>
      <c r="R37" s="954"/>
      <c r="S37" s="954"/>
      <c r="T37" s="954"/>
      <c r="U37" s="954"/>
      <c r="V37" s="43"/>
      <c r="W37" s="145"/>
      <c r="X37" s="188"/>
    </row>
    <row r="38" spans="1:24" s="39" customFormat="1" ht="12.75" customHeight="1" thickBot="1">
      <c r="A38" s="144"/>
      <c r="B38" s="942" t="s">
        <v>151</v>
      </c>
      <c r="C38" s="943"/>
      <c r="D38" s="943"/>
      <c r="E38" s="943"/>
      <c r="F38" s="943"/>
      <c r="G38" s="955"/>
      <c r="H38" s="955"/>
      <c r="I38" s="955"/>
      <c r="J38" s="955"/>
      <c r="K38" s="947" t="s">
        <v>140</v>
      </c>
      <c r="L38" s="943"/>
      <c r="M38" s="943"/>
      <c r="N38" s="943"/>
      <c r="O38" s="943"/>
      <c r="P38" s="943"/>
      <c r="Q38" s="943"/>
      <c r="R38" s="956" t="e">
        <f>ROUND(G38/G36,2)</f>
        <v>#DIV/0!</v>
      </c>
      <c r="S38" s="956"/>
      <c r="T38" s="956"/>
      <c r="U38" s="957"/>
      <c r="V38" s="43"/>
      <c r="W38" s="145"/>
      <c r="X38" s="188"/>
    </row>
    <row r="39" spans="1:24" s="39" customFormat="1" ht="12.75" customHeight="1" thickBot="1">
      <c r="A39" s="144"/>
      <c r="B39" s="942" t="s">
        <v>126</v>
      </c>
      <c r="C39" s="943"/>
      <c r="D39" s="944"/>
      <c r="E39" s="945"/>
      <c r="F39" s="945"/>
      <c r="G39" s="945"/>
      <c r="H39" s="945"/>
      <c r="I39" s="945"/>
      <c r="J39" s="945"/>
      <c r="K39" s="945"/>
      <c r="L39" s="945"/>
      <c r="M39" s="945"/>
      <c r="N39" s="946"/>
      <c r="O39" s="947" t="s">
        <v>141</v>
      </c>
      <c r="P39" s="943"/>
      <c r="Q39" s="943"/>
      <c r="R39" s="943"/>
      <c r="S39" s="943"/>
      <c r="T39" s="985"/>
      <c r="U39" s="986"/>
      <c r="V39" s="43"/>
      <c r="W39" s="145"/>
      <c r="X39" s="188"/>
    </row>
    <row r="40" spans="1:24" s="39" customFormat="1" ht="12.75" customHeight="1" thickBot="1">
      <c r="A40" s="144"/>
      <c r="B40" s="949"/>
      <c r="C40" s="949"/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43"/>
      <c r="W40" s="145"/>
      <c r="X40" s="188"/>
    </row>
    <row r="41" spans="1:24" s="39" customFormat="1" ht="12.75" customHeight="1" thickTop="1" thickBot="1">
      <c r="A41" s="144"/>
      <c r="B41" s="949"/>
      <c r="C41" s="949"/>
      <c r="D41" s="949"/>
      <c r="E41" s="949"/>
      <c r="F41" s="949"/>
      <c r="G41" s="94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43"/>
      <c r="W41" s="145"/>
      <c r="X41" s="188"/>
    </row>
    <row r="42" spans="1:24" s="39" customFormat="1" ht="6" customHeight="1" thickTop="1" thickBot="1">
      <c r="A42" s="14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145"/>
      <c r="X42" s="188"/>
    </row>
    <row r="43" spans="1:24" s="39" customFormat="1" ht="12.75" customHeight="1" thickTop="1" thickBot="1">
      <c r="A43" s="144"/>
      <c r="B43" s="971" t="s">
        <v>144</v>
      </c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42"/>
      <c r="R43" s="973" t="s">
        <v>68</v>
      </c>
      <c r="S43" s="974"/>
      <c r="T43" s="975">
        <v>39748</v>
      </c>
      <c r="U43" s="976"/>
      <c r="V43" s="43"/>
      <c r="W43" s="145"/>
      <c r="X43" s="188"/>
    </row>
    <row r="44" spans="1:24" s="39" customFormat="1" ht="12.75" customHeight="1">
      <c r="A44" s="144"/>
      <c r="B44" s="977" t="s">
        <v>121</v>
      </c>
      <c r="C44" s="969"/>
      <c r="D44" s="978"/>
      <c r="E44" s="979"/>
      <c r="F44" s="979"/>
      <c r="G44" s="979"/>
      <c r="H44" s="979"/>
      <c r="I44" s="979"/>
      <c r="J44" s="979"/>
      <c r="K44" s="980" t="s">
        <v>149</v>
      </c>
      <c r="L44" s="981"/>
      <c r="M44" s="981"/>
      <c r="N44" s="981"/>
      <c r="O44" s="981"/>
      <c r="P44" s="982"/>
      <c r="Q44" s="983"/>
      <c r="R44" s="983"/>
      <c r="S44" s="983"/>
      <c r="T44" s="983"/>
      <c r="U44" s="984"/>
      <c r="V44" s="43"/>
      <c r="W44" s="145"/>
      <c r="X44" s="187">
        <f>IF(Q44&gt;2,100,0)</f>
        <v>0</v>
      </c>
    </row>
    <row r="45" spans="1:24" s="39" customFormat="1" ht="12.75" customHeight="1">
      <c r="A45" s="144"/>
      <c r="B45" s="46" t="s">
        <v>122</v>
      </c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962"/>
      <c r="P45" s="962"/>
      <c r="Q45" s="962"/>
      <c r="R45" s="962"/>
      <c r="S45" s="962"/>
      <c r="T45" s="962"/>
      <c r="U45" s="962"/>
      <c r="V45" s="43"/>
      <c r="W45" s="145"/>
      <c r="X45" s="188"/>
    </row>
    <row r="46" spans="1:24" s="39" customFormat="1" ht="12.75" customHeight="1" thickBot="1">
      <c r="A46" s="144"/>
      <c r="B46" s="47" t="s">
        <v>123</v>
      </c>
      <c r="C46" s="952"/>
      <c r="D46" s="952"/>
      <c r="E46" s="952"/>
      <c r="F46" s="952"/>
      <c r="G46" s="952"/>
      <c r="H46" s="952"/>
      <c r="I46" s="952"/>
      <c r="J46" s="952"/>
      <c r="K46" s="953" t="s">
        <v>124</v>
      </c>
      <c r="L46" s="951"/>
      <c r="M46" s="952"/>
      <c r="N46" s="952"/>
      <c r="O46" s="952"/>
      <c r="P46" s="952"/>
      <c r="Q46" s="952"/>
      <c r="R46" s="952"/>
      <c r="S46" s="952"/>
      <c r="T46" s="48" t="s">
        <v>125</v>
      </c>
      <c r="U46" s="27"/>
      <c r="V46" s="43"/>
      <c r="W46" s="145"/>
      <c r="X46" s="188"/>
    </row>
    <row r="47" spans="1:24" s="39" customFormat="1" ht="12.75" customHeight="1">
      <c r="A47" s="144"/>
      <c r="B47" s="49" t="s">
        <v>127</v>
      </c>
      <c r="C47" s="967" t="s">
        <v>203</v>
      </c>
      <c r="D47" s="967"/>
      <c r="E47" s="967"/>
      <c r="F47" s="967"/>
      <c r="G47" s="967"/>
      <c r="H47" s="967"/>
      <c r="I47" s="967"/>
      <c r="J47" s="967"/>
      <c r="K47" s="968" t="s">
        <v>128</v>
      </c>
      <c r="L47" s="969"/>
      <c r="M47" s="969"/>
      <c r="N47" s="969"/>
      <c r="O47" s="969"/>
      <c r="P47" s="970" t="s">
        <v>192</v>
      </c>
      <c r="Q47" s="970"/>
      <c r="R47" s="970"/>
      <c r="S47" s="970"/>
      <c r="T47" s="970"/>
      <c r="U47" s="970"/>
      <c r="V47" s="43"/>
      <c r="W47" s="145"/>
      <c r="X47" s="188"/>
    </row>
    <row r="48" spans="1:24" s="39" customFormat="1" ht="12.75" customHeight="1">
      <c r="A48" s="144"/>
      <c r="B48" s="958" t="s">
        <v>130</v>
      </c>
      <c r="C48" s="959"/>
      <c r="D48" s="959"/>
      <c r="E48" s="959"/>
      <c r="F48" s="960"/>
      <c r="G48" s="960"/>
      <c r="H48" s="960"/>
      <c r="I48" s="960"/>
      <c r="J48" s="960"/>
      <c r="K48" s="961" t="s">
        <v>150</v>
      </c>
      <c r="L48" s="959"/>
      <c r="M48" s="959"/>
      <c r="N48" s="959"/>
      <c r="O48" s="959"/>
      <c r="P48" s="962"/>
      <c r="Q48" s="962"/>
      <c r="R48" s="962"/>
      <c r="S48" s="962"/>
      <c r="T48" s="962"/>
      <c r="U48" s="962"/>
      <c r="V48" s="43"/>
      <c r="W48" s="145"/>
      <c r="X48" s="188"/>
    </row>
    <row r="49" spans="1:24" s="39" customFormat="1" ht="12.75" customHeight="1">
      <c r="A49" s="146"/>
      <c r="B49" s="958" t="s">
        <v>146</v>
      </c>
      <c r="C49" s="959"/>
      <c r="D49" s="959"/>
      <c r="E49" s="959"/>
      <c r="F49" s="959"/>
      <c r="G49" s="963"/>
      <c r="H49" s="963"/>
      <c r="I49" s="963"/>
      <c r="J49" s="963"/>
      <c r="K49" s="964" t="s">
        <v>147</v>
      </c>
      <c r="L49" s="965"/>
      <c r="M49" s="965"/>
      <c r="N49" s="965"/>
      <c r="O49" s="965"/>
      <c r="P49" s="966"/>
      <c r="Q49" s="966"/>
      <c r="R49" s="966"/>
      <c r="S49" s="966"/>
      <c r="T49" s="966"/>
      <c r="U49" s="966"/>
      <c r="V49" s="43"/>
      <c r="W49" s="147" t="e">
        <f>G49/#REF!</f>
        <v>#REF!</v>
      </c>
      <c r="X49" s="189" t="e">
        <f>IF(W49&gt;0.49,IF(W49&lt;=2,0,100),100)</f>
        <v>#REF!</v>
      </c>
    </row>
    <row r="50" spans="1:24" s="39" customFormat="1" ht="12.75" customHeight="1" thickBot="1">
      <c r="A50" s="144"/>
      <c r="B50" s="950" t="s">
        <v>139</v>
      </c>
      <c r="C50" s="951"/>
      <c r="D50" s="951"/>
      <c r="E50" s="951"/>
      <c r="F50" s="951"/>
      <c r="G50" s="952"/>
      <c r="H50" s="952"/>
      <c r="I50" s="952"/>
      <c r="J50" s="952"/>
      <c r="K50" s="953" t="s">
        <v>129</v>
      </c>
      <c r="L50" s="951"/>
      <c r="M50" s="951"/>
      <c r="N50" s="951"/>
      <c r="O50" s="951"/>
      <c r="P50" s="954"/>
      <c r="Q50" s="954"/>
      <c r="R50" s="954"/>
      <c r="S50" s="954"/>
      <c r="T50" s="954"/>
      <c r="U50" s="954"/>
      <c r="V50" s="43"/>
      <c r="W50" s="145"/>
      <c r="X50" s="188"/>
    </row>
    <row r="51" spans="1:24" s="39" customFormat="1" ht="12.75" customHeight="1" thickBot="1">
      <c r="A51" s="144"/>
      <c r="B51" s="942" t="s">
        <v>151</v>
      </c>
      <c r="C51" s="943"/>
      <c r="D51" s="943"/>
      <c r="E51" s="943"/>
      <c r="F51" s="943"/>
      <c r="G51" s="955"/>
      <c r="H51" s="955"/>
      <c r="I51" s="955"/>
      <c r="J51" s="955"/>
      <c r="K51" s="947" t="s">
        <v>140</v>
      </c>
      <c r="L51" s="943"/>
      <c r="M51" s="943"/>
      <c r="N51" s="943"/>
      <c r="O51" s="943"/>
      <c r="P51" s="943"/>
      <c r="Q51" s="943"/>
      <c r="R51" s="956" t="e">
        <f>ROUND(G51/G49,2)</f>
        <v>#DIV/0!</v>
      </c>
      <c r="S51" s="956"/>
      <c r="T51" s="956"/>
      <c r="U51" s="957"/>
      <c r="V51" s="43"/>
      <c r="W51" s="145"/>
      <c r="X51" s="188"/>
    </row>
    <row r="52" spans="1:24" s="39" customFormat="1" ht="12.75" customHeight="1" thickBot="1">
      <c r="A52" s="144"/>
      <c r="B52" s="942" t="s">
        <v>126</v>
      </c>
      <c r="C52" s="943"/>
      <c r="D52" s="944"/>
      <c r="E52" s="945"/>
      <c r="F52" s="945"/>
      <c r="G52" s="945"/>
      <c r="H52" s="945"/>
      <c r="I52" s="945"/>
      <c r="J52" s="945"/>
      <c r="K52" s="945"/>
      <c r="L52" s="945"/>
      <c r="M52" s="945"/>
      <c r="N52" s="946"/>
      <c r="O52" s="947" t="s">
        <v>141</v>
      </c>
      <c r="P52" s="943"/>
      <c r="Q52" s="943"/>
      <c r="R52" s="943"/>
      <c r="S52" s="943"/>
      <c r="T52" s="985"/>
      <c r="U52" s="986"/>
      <c r="V52" s="43"/>
      <c r="W52" s="145"/>
      <c r="X52" s="188"/>
    </row>
    <row r="53" spans="1:24" s="39" customFormat="1" ht="12.75" customHeight="1" thickBot="1">
      <c r="A53" s="144"/>
      <c r="B53" s="949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43"/>
      <c r="W53" s="145"/>
      <c r="X53" s="188"/>
    </row>
    <row r="54" spans="1:24" s="39" customFormat="1" ht="12.75" customHeight="1" thickTop="1" thickBot="1">
      <c r="A54" s="144"/>
      <c r="B54" s="949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43"/>
      <c r="W54" s="145"/>
      <c r="X54" s="188"/>
    </row>
    <row r="55" spans="1:24" s="39" customFormat="1" ht="6" customHeight="1" thickTop="1" thickBot="1">
      <c r="A55" s="144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145"/>
      <c r="X55" s="188"/>
    </row>
    <row r="56" spans="1:24" s="39" customFormat="1" ht="12.75" customHeight="1" thickTop="1" thickBot="1">
      <c r="A56" s="144"/>
      <c r="B56" s="971" t="s">
        <v>145</v>
      </c>
      <c r="C56" s="972"/>
      <c r="D56" s="972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972"/>
      <c r="P56" s="972"/>
      <c r="Q56" s="42"/>
      <c r="R56" s="973" t="s">
        <v>68</v>
      </c>
      <c r="S56" s="974"/>
      <c r="T56" s="975"/>
      <c r="U56" s="976"/>
      <c r="V56" s="43"/>
      <c r="W56" s="145"/>
      <c r="X56" s="188"/>
    </row>
    <row r="57" spans="1:24" s="39" customFormat="1" ht="12.75" customHeight="1">
      <c r="A57" s="144"/>
      <c r="B57" s="977" t="s">
        <v>121</v>
      </c>
      <c r="C57" s="969"/>
      <c r="D57" s="978"/>
      <c r="E57" s="979"/>
      <c r="F57" s="979"/>
      <c r="G57" s="979"/>
      <c r="H57" s="979"/>
      <c r="I57" s="979"/>
      <c r="J57" s="979"/>
      <c r="K57" s="980" t="s">
        <v>149</v>
      </c>
      <c r="L57" s="981"/>
      <c r="M57" s="981"/>
      <c r="N57" s="981"/>
      <c r="O57" s="981"/>
      <c r="P57" s="982"/>
      <c r="Q57" s="983"/>
      <c r="R57" s="983"/>
      <c r="S57" s="983"/>
      <c r="T57" s="983"/>
      <c r="U57" s="984"/>
      <c r="V57" s="43"/>
      <c r="W57" s="145"/>
      <c r="X57" s="187">
        <f>IF(Q57&gt;2,100,0)</f>
        <v>0</v>
      </c>
    </row>
    <row r="58" spans="1:24" s="39" customFormat="1" ht="12.75" customHeight="1">
      <c r="A58" s="144"/>
      <c r="B58" s="46" t="s">
        <v>122</v>
      </c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43"/>
      <c r="W58" s="145"/>
      <c r="X58" s="188"/>
    </row>
    <row r="59" spans="1:24" s="39" customFormat="1" ht="12.75" customHeight="1" thickBot="1">
      <c r="A59" s="144"/>
      <c r="B59" s="47" t="s">
        <v>123</v>
      </c>
      <c r="C59" s="952"/>
      <c r="D59" s="952"/>
      <c r="E59" s="952"/>
      <c r="F59" s="952"/>
      <c r="G59" s="952"/>
      <c r="H59" s="952"/>
      <c r="I59" s="952"/>
      <c r="J59" s="952"/>
      <c r="K59" s="953" t="s">
        <v>124</v>
      </c>
      <c r="L59" s="951"/>
      <c r="M59" s="952"/>
      <c r="N59" s="952"/>
      <c r="O59" s="952"/>
      <c r="P59" s="952"/>
      <c r="Q59" s="952"/>
      <c r="R59" s="952"/>
      <c r="S59" s="952"/>
      <c r="T59" s="48" t="s">
        <v>125</v>
      </c>
      <c r="U59" s="41"/>
      <c r="V59" s="43"/>
      <c r="W59" s="145"/>
      <c r="X59" s="188"/>
    </row>
    <row r="60" spans="1:24" s="39" customFormat="1" ht="12.75" customHeight="1">
      <c r="A60" s="144"/>
      <c r="B60" s="49" t="s">
        <v>127</v>
      </c>
      <c r="C60" s="967"/>
      <c r="D60" s="967"/>
      <c r="E60" s="967"/>
      <c r="F60" s="967"/>
      <c r="G60" s="967"/>
      <c r="H60" s="967"/>
      <c r="I60" s="967"/>
      <c r="J60" s="967"/>
      <c r="K60" s="968" t="s">
        <v>128</v>
      </c>
      <c r="L60" s="969"/>
      <c r="M60" s="969"/>
      <c r="N60" s="969"/>
      <c r="O60" s="969"/>
      <c r="P60" s="970"/>
      <c r="Q60" s="970"/>
      <c r="R60" s="970"/>
      <c r="S60" s="970"/>
      <c r="T60" s="970"/>
      <c r="U60" s="970"/>
      <c r="V60" s="43"/>
      <c r="W60" s="145"/>
      <c r="X60" s="188"/>
    </row>
    <row r="61" spans="1:24" s="39" customFormat="1" ht="12.75" customHeight="1">
      <c r="A61" s="144"/>
      <c r="B61" s="958" t="s">
        <v>130</v>
      </c>
      <c r="C61" s="959"/>
      <c r="D61" s="959"/>
      <c r="E61" s="959"/>
      <c r="F61" s="960"/>
      <c r="G61" s="960"/>
      <c r="H61" s="960"/>
      <c r="I61" s="960"/>
      <c r="J61" s="960"/>
      <c r="K61" s="961" t="s">
        <v>150</v>
      </c>
      <c r="L61" s="959"/>
      <c r="M61" s="959"/>
      <c r="N61" s="959"/>
      <c r="O61" s="959"/>
      <c r="P61" s="962"/>
      <c r="Q61" s="962"/>
      <c r="R61" s="962"/>
      <c r="S61" s="962"/>
      <c r="T61" s="962"/>
      <c r="U61" s="962"/>
      <c r="V61" s="43"/>
      <c r="W61" s="145"/>
      <c r="X61" s="188"/>
    </row>
    <row r="62" spans="1:24" s="39" customFormat="1" ht="12.75" customHeight="1">
      <c r="A62" s="146"/>
      <c r="B62" s="958" t="s">
        <v>146</v>
      </c>
      <c r="C62" s="959"/>
      <c r="D62" s="959"/>
      <c r="E62" s="959"/>
      <c r="F62" s="959"/>
      <c r="G62" s="963"/>
      <c r="H62" s="963"/>
      <c r="I62" s="963"/>
      <c r="J62" s="963"/>
      <c r="K62" s="964" t="s">
        <v>147</v>
      </c>
      <c r="L62" s="965"/>
      <c r="M62" s="965"/>
      <c r="N62" s="965"/>
      <c r="O62" s="965"/>
      <c r="P62" s="966"/>
      <c r="Q62" s="966"/>
      <c r="R62" s="966"/>
      <c r="S62" s="966"/>
      <c r="T62" s="966"/>
      <c r="U62" s="966"/>
      <c r="V62" s="43"/>
      <c r="W62" s="147" t="e">
        <f>G62/#REF!</f>
        <v>#REF!</v>
      </c>
      <c r="X62" s="189" t="e">
        <f>IF(W62&gt;0.49,IF(W62&lt;=2,0,100),100)</f>
        <v>#REF!</v>
      </c>
    </row>
    <row r="63" spans="1:24" s="39" customFormat="1" ht="12.75" customHeight="1" thickBot="1">
      <c r="A63" s="144"/>
      <c r="B63" s="950" t="s">
        <v>139</v>
      </c>
      <c r="C63" s="951"/>
      <c r="D63" s="951"/>
      <c r="E63" s="951"/>
      <c r="F63" s="951"/>
      <c r="G63" s="952"/>
      <c r="H63" s="952"/>
      <c r="I63" s="952"/>
      <c r="J63" s="952"/>
      <c r="K63" s="953" t="s">
        <v>129</v>
      </c>
      <c r="L63" s="951"/>
      <c r="M63" s="951"/>
      <c r="N63" s="951"/>
      <c r="O63" s="951"/>
      <c r="P63" s="954"/>
      <c r="Q63" s="954"/>
      <c r="R63" s="954"/>
      <c r="S63" s="954"/>
      <c r="T63" s="954"/>
      <c r="U63" s="954"/>
      <c r="V63" s="43"/>
      <c r="W63" s="145"/>
      <c r="X63" s="188"/>
    </row>
    <row r="64" spans="1:24" s="39" customFormat="1" ht="12.75" customHeight="1" thickBot="1">
      <c r="A64" s="144"/>
      <c r="B64" s="942" t="s">
        <v>151</v>
      </c>
      <c r="C64" s="943"/>
      <c r="D64" s="943"/>
      <c r="E64" s="943"/>
      <c r="F64" s="943"/>
      <c r="G64" s="955"/>
      <c r="H64" s="955"/>
      <c r="I64" s="955"/>
      <c r="J64" s="955"/>
      <c r="K64" s="947" t="s">
        <v>140</v>
      </c>
      <c r="L64" s="943"/>
      <c r="M64" s="943"/>
      <c r="N64" s="943"/>
      <c r="O64" s="943"/>
      <c r="P64" s="943"/>
      <c r="Q64" s="943"/>
      <c r="R64" s="956" t="e">
        <f>ROUND(G64/G62,2)</f>
        <v>#DIV/0!</v>
      </c>
      <c r="S64" s="956"/>
      <c r="T64" s="956"/>
      <c r="U64" s="957"/>
      <c r="V64" s="43"/>
      <c r="W64" s="145"/>
      <c r="X64" s="188"/>
    </row>
    <row r="65" spans="1:25" ht="12.75" customHeight="1" thickBot="1">
      <c r="A65" s="144"/>
      <c r="B65" s="942" t="s">
        <v>126</v>
      </c>
      <c r="C65" s="943"/>
      <c r="D65" s="944"/>
      <c r="E65" s="945"/>
      <c r="F65" s="945"/>
      <c r="G65" s="945"/>
      <c r="H65" s="945"/>
      <c r="I65" s="945"/>
      <c r="J65" s="945"/>
      <c r="K65" s="945"/>
      <c r="L65" s="945"/>
      <c r="M65" s="945"/>
      <c r="N65" s="946"/>
      <c r="O65" s="947" t="s">
        <v>141</v>
      </c>
      <c r="P65" s="943"/>
      <c r="Q65" s="943"/>
      <c r="R65" s="943"/>
      <c r="S65" s="943"/>
      <c r="T65" s="948"/>
      <c r="U65" s="948"/>
      <c r="W65" s="145"/>
      <c r="X65" s="188"/>
    </row>
    <row r="66" spans="1:25" ht="12.75" customHeight="1" thickBot="1">
      <c r="A66" s="144"/>
      <c r="B66" s="949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  <c r="U66" s="949"/>
      <c r="W66" s="145"/>
      <c r="X66" s="188"/>
    </row>
    <row r="67" spans="1:25" ht="12.75" customHeight="1" thickTop="1" thickBot="1">
      <c r="A67" s="144"/>
      <c r="B67" s="949"/>
      <c r="C67" s="949"/>
      <c r="D67" s="949"/>
      <c r="E67" s="949"/>
      <c r="F67" s="949"/>
      <c r="G67" s="949"/>
      <c r="H67" s="949"/>
      <c r="I67" s="949"/>
      <c r="J67" s="949"/>
      <c r="K67" s="949"/>
      <c r="L67" s="949"/>
      <c r="M67" s="949"/>
      <c r="N67" s="949"/>
      <c r="O67" s="949"/>
      <c r="P67" s="949"/>
      <c r="Q67" s="949"/>
      <c r="R67" s="949"/>
      <c r="S67" s="949"/>
      <c r="T67" s="949"/>
      <c r="U67" s="949"/>
      <c r="W67" s="145"/>
      <c r="X67" s="188"/>
    </row>
    <row r="68" spans="1:25" ht="5.25" customHeight="1" thickTop="1">
      <c r="A68" s="148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50"/>
      <c r="X68" s="190" t="e">
        <f>SUM(X4:X67)</f>
        <v>#REF!</v>
      </c>
      <c r="Y68" s="186"/>
    </row>
  </sheetData>
  <mergeCells count="181">
    <mergeCell ref="C6:U6"/>
    <mergeCell ref="C7:J7"/>
    <mergeCell ref="K7:L7"/>
    <mergeCell ref="M7:S7"/>
    <mergeCell ref="C8:J8"/>
    <mergeCell ref="K8:O8"/>
    <mergeCell ref="P8:U8"/>
    <mergeCell ref="K2:U2"/>
    <mergeCell ref="B4:D4"/>
    <mergeCell ref="E4:P4"/>
    <mergeCell ref="R4:S4"/>
    <mergeCell ref="T4:U4"/>
    <mergeCell ref="B5:C5"/>
    <mergeCell ref="D5:J5"/>
    <mergeCell ref="K5:P5"/>
    <mergeCell ref="Q5:U5"/>
    <mergeCell ref="B11:F11"/>
    <mergeCell ref="G11:J11"/>
    <mergeCell ref="K11:O11"/>
    <mergeCell ref="P11:U11"/>
    <mergeCell ref="B12:F12"/>
    <mergeCell ref="G12:J12"/>
    <mergeCell ref="K12:Q12"/>
    <mergeCell ref="R12:U12"/>
    <mergeCell ref="B9:E9"/>
    <mergeCell ref="F9:J9"/>
    <mergeCell ref="K9:O9"/>
    <mergeCell ref="P9:U9"/>
    <mergeCell ref="B10:F10"/>
    <mergeCell ref="G10:J10"/>
    <mergeCell ref="K10:O10"/>
    <mergeCell ref="P10:U10"/>
    <mergeCell ref="B13:C13"/>
    <mergeCell ref="D13:N13"/>
    <mergeCell ref="O13:S13"/>
    <mergeCell ref="T13:U13"/>
    <mergeCell ref="B14:U15"/>
    <mergeCell ref="B17:D17"/>
    <mergeCell ref="E17:P17"/>
    <mergeCell ref="R17:S17"/>
    <mergeCell ref="T17:U17"/>
    <mergeCell ref="C21:J21"/>
    <mergeCell ref="K21:O21"/>
    <mergeCell ref="P21:U21"/>
    <mergeCell ref="B22:E22"/>
    <mergeCell ref="F22:J22"/>
    <mergeCell ref="K22:O22"/>
    <mergeCell ref="P22:U22"/>
    <mergeCell ref="B18:C18"/>
    <mergeCell ref="D18:J18"/>
    <mergeCell ref="K18:P18"/>
    <mergeCell ref="Q18:U18"/>
    <mergeCell ref="C19:U19"/>
    <mergeCell ref="C20:J20"/>
    <mergeCell ref="K20:L20"/>
    <mergeCell ref="M20:S20"/>
    <mergeCell ref="B25:F25"/>
    <mergeCell ref="G25:J25"/>
    <mergeCell ref="K25:Q25"/>
    <mergeCell ref="R25:U25"/>
    <mergeCell ref="B26:C26"/>
    <mergeCell ref="D26:N26"/>
    <mergeCell ref="O26:S26"/>
    <mergeCell ref="T26:U26"/>
    <mergeCell ref="B23:F23"/>
    <mergeCell ref="G23:J23"/>
    <mergeCell ref="K23:O23"/>
    <mergeCell ref="P23:U23"/>
    <mergeCell ref="B24:F24"/>
    <mergeCell ref="G24:J24"/>
    <mergeCell ref="K24:O24"/>
    <mergeCell ref="P24:U24"/>
    <mergeCell ref="C32:U32"/>
    <mergeCell ref="C33:J33"/>
    <mergeCell ref="K33:L33"/>
    <mergeCell ref="M33:S33"/>
    <mergeCell ref="C34:J34"/>
    <mergeCell ref="K34:O34"/>
    <mergeCell ref="P34:U34"/>
    <mergeCell ref="B27:U28"/>
    <mergeCell ref="B30:D30"/>
    <mergeCell ref="E30:P30"/>
    <mergeCell ref="R30:S30"/>
    <mergeCell ref="T30:U30"/>
    <mergeCell ref="B31:C31"/>
    <mergeCell ref="D31:J31"/>
    <mergeCell ref="K31:P31"/>
    <mergeCell ref="Q31:U31"/>
    <mergeCell ref="B37:F37"/>
    <mergeCell ref="G37:J37"/>
    <mergeCell ref="K37:O37"/>
    <mergeCell ref="P37:U37"/>
    <mergeCell ref="B38:F38"/>
    <mergeCell ref="G38:J38"/>
    <mergeCell ref="K38:Q38"/>
    <mergeCell ref="R38:U38"/>
    <mergeCell ref="B35:E35"/>
    <mergeCell ref="F35:J35"/>
    <mergeCell ref="K35:O35"/>
    <mergeCell ref="P35:U35"/>
    <mergeCell ref="B36:F36"/>
    <mergeCell ref="G36:J36"/>
    <mergeCell ref="K36:O36"/>
    <mergeCell ref="P36:U36"/>
    <mergeCell ref="B39:C39"/>
    <mergeCell ref="D39:N39"/>
    <mergeCell ref="O39:S39"/>
    <mergeCell ref="T39:U39"/>
    <mergeCell ref="B40:U41"/>
    <mergeCell ref="B43:D43"/>
    <mergeCell ref="E43:P43"/>
    <mergeCell ref="R43:S43"/>
    <mergeCell ref="T43:U43"/>
    <mergeCell ref="C47:J47"/>
    <mergeCell ref="K47:O47"/>
    <mergeCell ref="P47:U47"/>
    <mergeCell ref="B48:E48"/>
    <mergeCell ref="F48:J48"/>
    <mergeCell ref="K48:O48"/>
    <mergeCell ref="P48:U48"/>
    <mergeCell ref="B44:C44"/>
    <mergeCell ref="D44:J44"/>
    <mergeCell ref="K44:P44"/>
    <mergeCell ref="Q44:U44"/>
    <mergeCell ref="C45:U45"/>
    <mergeCell ref="C46:J46"/>
    <mergeCell ref="K46:L46"/>
    <mergeCell ref="M46:S46"/>
    <mergeCell ref="B51:F51"/>
    <mergeCell ref="G51:J51"/>
    <mergeCell ref="K51:Q51"/>
    <mergeCell ref="R51:U51"/>
    <mergeCell ref="B52:C52"/>
    <mergeCell ref="D52:N52"/>
    <mergeCell ref="O52:S52"/>
    <mergeCell ref="T52:U52"/>
    <mergeCell ref="B49:F49"/>
    <mergeCell ref="G49:J49"/>
    <mergeCell ref="K49:O49"/>
    <mergeCell ref="P49:U49"/>
    <mergeCell ref="B50:F50"/>
    <mergeCell ref="G50:J50"/>
    <mergeCell ref="K50:O50"/>
    <mergeCell ref="P50:U50"/>
    <mergeCell ref="B53:U54"/>
    <mergeCell ref="B56:D56"/>
    <mergeCell ref="E56:P56"/>
    <mergeCell ref="R56:S56"/>
    <mergeCell ref="T56:U56"/>
    <mergeCell ref="B57:C57"/>
    <mergeCell ref="D57:J57"/>
    <mergeCell ref="K57:P57"/>
    <mergeCell ref="Q57:U57"/>
    <mergeCell ref="B61:E61"/>
    <mergeCell ref="F61:J61"/>
    <mergeCell ref="K61:O61"/>
    <mergeCell ref="P61:U61"/>
    <mergeCell ref="B62:F62"/>
    <mergeCell ref="G62:J62"/>
    <mergeCell ref="K62:O62"/>
    <mergeCell ref="P62:U62"/>
    <mergeCell ref="C58:U58"/>
    <mergeCell ref="C59:J59"/>
    <mergeCell ref="K59:L59"/>
    <mergeCell ref="M59:S59"/>
    <mergeCell ref="C60:J60"/>
    <mergeCell ref="K60:O60"/>
    <mergeCell ref="P60:U60"/>
    <mergeCell ref="B65:C65"/>
    <mergeCell ref="D65:N65"/>
    <mergeCell ref="O65:S65"/>
    <mergeCell ref="T65:U65"/>
    <mergeCell ref="B66:U67"/>
    <mergeCell ref="B63:F63"/>
    <mergeCell ref="G63:J63"/>
    <mergeCell ref="K63:O63"/>
    <mergeCell ref="P63:U63"/>
    <mergeCell ref="B64:F64"/>
    <mergeCell ref="G64:J64"/>
    <mergeCell ref="K64:Q64"/>
    <mergeCell ref="R64:U64"/>
  </mergeCells>
  <printOptions horizontalCentered="1" verticalCentered="1"/>
  <pageMargins left="0.33" right="0.39370078740157483" top="0.23622047244094491" bottom="0.23622047244094491" header="0" footer="0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6"/>
  <sheetViews>
    <sheetView showGridLines="0" zoomScaleNormal="100" zoomScaleSheetLayoutView="75" workbookViewId="0">
      <selection activeCell="AG11" sqref="AG11"/>
    </sheetView>
  </sheetViews>
  <sheetFormatPr defaultRowHeight="12.75"/>
  <cols>
    <col min="1" max="1" width="1.7109375" style="239" customWidth="1"/>
    <col min="2" max="2" width="4.85546875" style="239" customWidth="1"/>
    <col min="3" max="3" width="13.7109375" style="239" customWidth="1"/>
    <col min="4" max="4" width="40.42578125" style="239" customWidth="1"/>
    <col min="5" max="5" width="5.7109375" style="239" customWidth="1"/>
    <col min="6" max="6" width="12.5703125" style="239" customWidth="1"/>
    <col min="7" max="7" width="10.42578125" style="239" customWidth="1"/>
    <col min="8" max="8" width="11.7109375" style="239" customWidth="1"/>
    <col min="9" max="10" width="9.28515625" style="239" bestFit="1" customWidth="1"/>
    <col min="11" max="11" width="8.140625" style="239" customWidth="1"/>
    <col min="12" max="12" width="8" style="239" customWidth="1"/>
    <col min="13" max="16" width="12" style="239" customWidth="1"/>
    <col min="17" max="18" width="8.7109375" style="239" customWidth="1"/>
    <col min="19" max="19" width="7.7109375" style="239" customWidth="1"/>
    <col min="20" max="20" width="11.28515625" style="239" bestFit="1" customWidth="1"/>
    <col min="21" max="24" width="9.28515625" style="239" bestFit="1" customWidth="1"/>
    <col min="25" max="25" width="9.28515625" style="239" customWidth="1"/>
    <col min="26" max="26" width="11.28515625" style="239" customWidth="1"/>
    <col min="27" max="30" width="0" style="239" hidden="1" customWidth="1"/>
    <col min="31" max="260" width="9.140625" style="239"/>
    <col min="261" max="261" width="1.7109375" style="239" customWidth="1"/>
    <col min="262" max="262" width="4.85546875" style="239" customWidth="1"/>
    <col min="263" max="263" width="13.7109375" style="239" customWidth="1"/>
    <col min="264" max="264" width="40.42578125" style="239" customWidth="1"/>
    <col min="265" max="265" width="5.7109375" style="239" customWidth="1"/>
    <col min="266" max="266" width="12.5703125" style="239" customWidth="1"/>
    <col min="267" max="267" width="10.42578125" style="239" customWidth="1"/>
    <col min="268" max="268" width="11.7109375" style="239" customWidth="1"/>
    <col min="269" max="270" width="9.28515625" style="239" bestFit="1" customWidth="1"/>
    <col min="271" max="271" width="8.140625" style="239" customWidth="1"/>
    <col min="272" max="272" width="8" style="239" customWidth="1"/>
    <col min="273" max="274" width="12" style="239" customWidth="1"/>
    <col min="275" max="275" width="7.7109375" style="239" customWidth="1"/>
    <col min="276" max="276" width="11.28515625" style="239" bestFit="1" customWidth="1"/>
    <col min="277" max="280" width="9.28515625" style="239" bestFit="1" customWidth="1"/>
    <col min="281" max="281" width="9.28515625" style="239" customWidth="1"/>
    <col min="282" max="282" width="11.28515625" style="239" customWidth="1"/>
    <col min="283" max="516" width="9.140625" style="239"/>
    <col min="517" max="517" width="1.7109375" style="239" customWidth="1"/>
    <col min="518" max="518" width="4.85546875" style="239" customWidth="1"/>
    <col min="519" max="519" width="13.7109375" style="239" customWidth="1"/>
    <col min="520" max="520" width="40.42578125" style="239" customWidth="1"/>
    <col min="521" max="521" width="5.7109375" style="239" customWidth="1"/>
    <col min="522" max="522" width="12.5703125" style="239" customWidth="1"/>
    <col min="523" max="523" width="10.42578125" style="239" customWidth="1"/>
    <col min="524" max="524" width="11.7109375" style="239" customWidth="1"/>
    <col min="525" max="526" width="9.28515625" style="239" bestFit="1" customWidth="1"/>
    <col min="527" max="527" width="8.140625" style="239" customWidth="1"/>
    <col min="528" max="528" width="8" style="239" customWidth="1"/>
    <col min="529" max="530" width="12" style="239" customWidth="1"/>
    <col min="531" max="531" width="7.7109375" style="239" customWidth="1"/>
    <col min="532" max="532" width="11.28515625" style="239" bestFit="1" customWidth="1"/>
    <col min="533" max="536" width="9.28515625" style="239" bestFit="1" customWidth="1"/>
    <col min="537" max="537" width="9.28515625" style="239" customWidth="1"/>
    <col min="538" max="538" width="11.28515625" style="239" customWidth="1"/>
    <col min="539" max="772" width="9.140625" style="239"/>
    <col min="773" max="773" width="1.7109375" style="239" customWidth="1"/>
    <col min="774" max="774" width="4.85546875" style="239" customWidth="1"/>
    <col min="775" max="775" width="13.7109375" style="239" customWidth="1"/>
    <col min="776" max="776" width="40.42578125" style="239" customWidth="1"/>
    <col min="777" max="777" width="5.7109375" style="239" customWidth="1"/>
    <col min="778" max="778" width="12.5703125" style="239" customWidth="1"/>
    <col min="779" max="779" width="10.42578125" style="239" customWidth="1"/>
    <col min="780" max="780" width="11.7109375" style="239" customWidth="1"/>
    <col min="781" max="782" width="9.28515625" style="239" bestFit="1" customWidth="1"/>
    <col min="783" max="783" width="8.140625" style="239" customWidth="1"/>
    <col min="784" max="784" width="8" style="239" customWidth="1"/>
    <col min="785" max="786" width="12" style="239" customWidth="1"/>
    <col min="787" max="787" width="7.7109375" style="239" customWidth="1"/>
    <col min="788" max="788" width="11.28515625" style="239" bestFit="1" customWidth="1"/>
    <col min="789" max="792" width="9.28515625" style="239" bestFit="1" customWidth="1"/>
    <col min="793" max="793" width="9.28515625" style="239" customWidth="1"/>
    <col min="794" max="794" width="11.28515625" style="239" customWidth="1"/>
    <col min="795" max="1028" width="9.140625" style="239"/>
    <col min="1029" max="1029" width="1.7109375" style="239" customWidth="1"/>
    <col min="1030" max="1030" width="4.85546875" style="239" customWidth="1"/>
    <col min="1031" max="1031" width="13.7109375" style="239" customWidth="1"/>
    <col min="1032" max="1032" width="40.42578125" style="239" customWidth="1"/>
    <col min="1033" max="1033" width="5.7109375" style="239" customWidth="1"/>
    <col min="1034" max="1034" width="12.5703125" style="239" customWidth="1"/>
    <col min="1035" max="1035" width="10.42578125" style="239" customWidth="1"/>
    <col min="1036" max="1036" width="11.7109375" style="239" customWidth="1"/>
    <col min="1037" max="1038" width="9.28515625" style="239" bestFit="1" customWidth="1"/>
    <col min="1039" max="1039" width="8.140625" style="239" customWidth="1"/>
    <col min="1040" max="1040" width="8" style="239" customWidth="1"/>
    <col min="1041" max="1042" width="12" style="239" customWidth="1"/>
    <col min="1043" max="1043" width="7.7109375" style="239" customWidth="1"/>
    <col min="1044" max="1044" width="11.28515625" style="239" bestFit="1" customWidth="1"/>
    <col min="1045" max="1048" width="9.28515625" style="239" bestFit="1" customWidth="1"/>
    <col min="1049" max="1049" width="9.28515625" style="239" customWidth="1"/>
    <col min="1050" max="1050" width="11.28515625" style="239" customWidth="1"/>
    <col min="1051" max="1284" width="9.140625" style="239"/>
    <col min="1285" max="1285" width="1.7109375" style="239" customWidth="1"/>
    <col min="1286" max="1286" width="4.85546875" style="239" customWidth="1"/>
    <col min="1287" max="1287" width="13.7109375" style="239" customWidth="1"/>
    <col min="1288" max="1288" width="40.42578125" style="239" customWidth="1"/>
    <col min="1289" max="1289" width="5.7109375" style="239" customWidth="1"/>
    <col min="1290" max="1290" width="12.5703125" style="239" customWidth="1"/>
    <col min="1291" max="1291" width="10.42578125" style="239" customWidth="1"/>
    <col min="1292" max="1292" width="11.7109375" style="239" customWidth="1"/>
    <col min="1293" max="1294" width="9.28515625" style="239" bestFit="1" customWidth="1"/>
    <col min="1295" max="1295" width="8.140625" style="239" customWidth="1"/>
    <col min="1296" max="1296" width="8" style="239" customWidth="1"/>
    <col min="1297" max="1298" width="12" style="239" customWidth="1"/>
    <col min="1299" max="1299" width="7.7109375" style="239" customWidth="1"/>
    <col min="1300" max="1300" width="11.28515625" style="239" bestFit="1" customWidth="1"/>
    <col min="1301" max="1304" width="9.28515625" style="239" bestFit="1" customWidth="1"/>
    <col min="1305" max="1305" width="9.28515625" style="239" customWidth="1"/>
    <col min="1306" max="1306" width="11.28515625" style="239" customWidth="1"/>
    <col min="1307" max="1540" width="9.140625" style="239"/>
    <col min="1541" max="1541" width="1.7109375" style="239" customWidth="1"/>
    <col min="1542" max="1542" width="4.85546875" style="239" customWidth="1"/>
    <col min="1543" max="1543" width="13.7109375" style="239" customWidth="1"/>
    <col min="1544" max="1544" width="40.42578125" style="239" customWidth="1"/>
    <col min="1545" max="1545" width="5.7109375" style="239" customWidth="1"/>
    <col min="1546" max="1546" width="12.5703125" style="239" customWidth="1"/>
    <col min="1547" max="1547" width="10.42578125" style="239" customWidth="1"/>
    <col min="1548" max="1548" width="11.7109375" style="239" customWidth="1"/>
    <col min="1549" max="1550" width="9.28515625" style="239" bestFit="1" customWidth="1"/>
    <col min="1551" max="1551" width="8.140625" style="239" customWidth="1"/>
    <col min="1552" max="1552" width="8" style="239" customWidth="1"/>
    <col min="1553" max="1554" width="12" style="239" customWidth="1"/>
    <col min="1555" max="1555" width="7.7109375" style="239" customWidth="1"/>
    <col min="1556" max="1556" width="11.28515625" style="239" bestFit="1" customWidth="1"/>
    <col min="1557" max="1560" width="9.28515625" style="239" bestFit="1" customWidth="1"/>
    <col min="1561" max="1561" width="9.28515625" style="239" customWidth="1"/>
    <col min="1562" max="1562" width="11.28515625" style="239" customWidth="1"/>
    <col min="1563" max="1796" width="9.140625" style="239"/>
    <col min="1797" max="1797" width="1.7109375" style="239" customWidth="1"/>
    <col min="1798" max="1798" width="4.85546875" style="239" customWidth="1"/>
    <col min="1799" max="1799" width="13.7109375" style="239" customWidth="1"/>
    <col min="1800" max="1800" width="40.42578125" style="239" customWidth="1"/>
    <col min="1801" max="1801" width="5.7109375" style="239" customWidth="1"/>
    <col min="1802" max="1802" width="12.5703125" style="239" customWidth="1"/>
    <col min="1803" max="1803" width="10.42578125" style="239" customWidth="1"/>
    <col min="1804" max="1804" width="11.7109375" style="239" customWidth="1"/>
    <col min="1805" max="1806" width="9.28515625" style="239" bestFit="1" customWidth="1"/>
    <col min="1807" max="1807" width="8.140625" style="239" customWidth="1"/>
    <col min="1808" max="1808" width="8" style="239" customWidth="1"/>
    <col min="1809" max="1810" width="12" style="239" customWidth="1"/>
    <col min="1811" max="1811" width="7.7109375" style="239" customWidth="1"/>
    <col min="1812" max="1812" width="11.28515625" style="239" bestFit="1" customWidth="1"/>
    <col min="1813" max="1816" width="9.28515625" style="239" bestFit="1" customWidth="1"/>
    <col min="1817" max="1817" width="9.28515625" style="239" customWidth="1"/>
    <col min="1818" max="1818" width="11.28515625" style="239" customWidth="1"/>
    <col min="1819" max="2052" width="9.140625" style="239"/>
    <col min="2053" max="2053" width="1.7109375" style="239" customWidth="1"/>
    <col min="2054" max="2054" width="4.85546875" style="239" customWidth="1"/>
    <col min="2055" max="2055" width="13.7109375" style="239" customWidth="1"/>
    <col min="2056" max="2056" width="40.42578125" style="239" customWidth="1"/>
    <col min="2057" max="2057" width="5.7109375" style="239" customWidth="1"/>
    <col min="2058" max="2058" width="12.5703125" style="239" customWidth="1"/>
    <col min="2059" max="2059" width="10.42578125" style="239" customWidth="1"/>
    <col min="2060" max="2060" width="11.7109375" style="239" customWidth="1"/>
    <col min="2061" max="2062" width="9.28515625" style="239" bestFit="1" customWidth="1"/>
    <col min="2063" max="2063" width="8.140625" style="239" customWidth="1"/>
    <col min="2064" max="2064" width="8" style="239" customWidth="1"/>
    <col min="2065" max="2066" width="12" style="239" customWidth="1"/>
    <col min="2067" max="2067" width="7.7109375" style="239" customWidth="1"/>
    <col min="2068" max="2068" width="11.28515625" style="239" bestFit="1" customWidth="1"/>
    <col min="2069" max="2072" width="9.28515625" style="239" bestFit="1" customWidth="1"/>
    <col min="2073" max="2073" width="9.28515625" style="239" customWidth="1"/>
    <col min="2074" max="2074" width="11.28515625" style="239" customWidth="1"/>
    <col min="2075" max="2308" width="9.140625" style="239"/>
    <col min="2309" max="2309" width="1.7109375" style="239" customWidth="1"/>
    <col min="2310" max="2310" width="4.85546875" style="239" customWidth="1"/>
    <col min="2311" max="2311" width="13.7109375" style="239" customWidth="1"/>
    <col min="2312" max="2312" width="40.42578125" style="239" customWidth="1"/>
    <col min="2313" max="2313" width="5.7109375" style="239" customWidth="1"/>
    <col min="2314" max="2314" width="12.5703125" style="239" customWidth="1"/>
    <col min="2315" max="2315" width="10.42578125" style="239" customWidth="1"/>
    <col min="2316" max="2316" width="11.7109375" style="239" customWidth="1"/>
    <col min="2317" max="2318" width="9.28515625" style="239" bestFit="1" customWidth="1"/>
    <col min="2319" max="2319" width="8.140625" style="239" customWidth="1"/>
    <col min="2320" max="2320" width="8" style="239" customWidth="1"/>
    <col min="2321" max="2322" width="12" style="239" customWidth="1"/>
    <col min="2323" max="2323" width="7.7109375" style="239" customWidth="1"/>
    <col min="2324" max="2324" width="11.28515625" style="239" bestFit="1" customWidth="1"/>
    <col min="2325" max="2328" width="9.28515625" style="239" bestFit="1" customWidth="1"/>
    <col min="2329" max="2329" width="9.28515625" style="239" customWidth="1"/>
    <col min="2330" max="2330" width="11.28515625" style="239" customWidth="1"/>
    <col min="2331" max="2564" width="9.140625" style="239"/>
    <col min="2565" max="2565" width="1.7109375" style="239" customWidth="1"/>
    <col min="2566" max="2566" width="4.85546875" style="239" customWidth="1"/>
    <col min="2567" max="2567" width="13.7109375" style="239" customWidth="1"/>
    <col min="2568" max="2568" width="40.42578125" style="239" customWidth="1"/>
    <col min="2569" max="2569" width="5.7109375" style="239" customWidth="1"/>
    <col min="2570" max="2570" width="12.5703125" style="239" customWidth="1"/>
    <col min="2571" max="2571" width="10.42578125" style="239" customWidth="1"/>
    <col min="2572" max="2572" width="11.7109375" style="239" customWidth="1"/>
    <col min="2573" max="2574" width="9.28515625" style="239" bestFit="1" customWidth="1"/>
    <col min="2575" max="2575" width="8.140625" style="239" customWidth="1"/>
    <col min="2576" max="2576" width="8" style="239" customWidth="1"/>
    <col min="2577" max="2578" width="12" style="239" customWidth="1"/>
    <col min="2579" max="2579" width="7.7109375" style="239" customWidth="1"/>
    <col min="2580" max="2580" width="11.28515625" style="239" bestFit="1" customWidth="1"/>
    <col min="2581" max="2584" width="9.28515625" style="239" bestFit="1" customWidth="1"/>
    <col min="2585" max="2585" width="9.28515625" style="239" customWidth="1"/>
    <col min="2586" max="2586" width="11.28515625" style="239" customWidth="1"/>
    <col min="2587" max="2820" width="9.140625" style="239"/>
    <col min="2821" max="2821" width="1.7109375" style="239" customWidth="1"/>
    <col min="2822" max="2822" width="4.85546875" style="239" customWidth="1"/>
    <col min="2823" max="2823" width="13.7109375" style="239" customWidth="1"/>
    <col min="2824" max="2824" width="40.42578125" style="239" customWidth="1"/>
    <col min="2825" max="2825" width="5.7109375" style="239" customWidth="1"/>
    <col min="2826" max="2826" width="12.5703125" style="239" customWidth="1"/>
    <col min="2827" max="2827" width="10.42578125" style="239" customWidth="1"/>
    <col min="2828" max="2828" width="11.7109375" style="239" customWidth="1"/>
    <col min="2829" max="2830" width="9.28515625" style="239" bestFit="1" customWidth="1"/>
    <col min="2831" max="2831" width="8.140625" style="239" customWidth="1"/>
    <col min="2832" max="2832" width="8" style="239" customWidth="1"/>
    <col min="2833" max="2834" width="12" style="239" customWidth="1"/>
    <col min="2835" max="2835" width="7.7109375" style="239" customWidth="1"/>
    <col min="2836" max="2836" width="11.28515625" style="239" bestFit="1" customWidth="1"/>
    <col min="2837" max="2840" width="9.28515625" style="239" bestFit="1" customWidth="1"/>
    <col min="2841" max="2841" width="9.28515625" style="239" customWidth="1"/>
    <col min="2842" max="2842" width="11.28515625" style="239" customWidth="1"/>
    <col min="2843" max="3076" width="9.140625" style="239"/>
    <col min="3077" max="3077" width="1.7109375" style="239" customWidth="1"/>
    <col min="3078" max="3078" width="4.85546875" style="239" customWidth="1"/>
    <col min="3079" max="3079" width="13.7109375" style="239" customWidth="1"/>
    <col min="3080" max="3080" width="40.42578125" style="239" customWidth="1"/>
    <col min="3081" max="3081" width="5.7109375" style="239" customWidth="1"/>
    <col min="3082" max="3082" width="12.5703125" style="239" customWidth="1"/>
    <col min="3083" max="3083" width="10.42578125" style="239" customWidth="1"/>
    <col min="3084" max="3084" width="11.7109375" style="239" customWidth="1"/>
    <col min="3085" max="3086" width="9.28515625" style="239" bestFit="1" customWidth="1"/>
    <col min="3087" max="3087" width="8.140625" style="239" customWidth="1"/>
    <col min="3088" max="3088" width="8" style="239" customWidth="1"/>
    <col min="3089" max="3090" width="12" style="239" customWidth="1"/>
    <col min="3091" max="3091" width="7.7109375" style="239" customWidth="1"/>
    <col min="3092" max="3092" width="11.28515625" style="239" bestFit="1" customWidth="1"/>
    <col min="3093" max="3096" width="9.28515625" style="239" bestFit="1" customWidth="1"/>
    <col min="3097" max="3097" width="9.28515625" style="239" customWidth="1"/>
    <col min="3098" max="3098" width="11.28515625" style="239" customWidth="1"/>
    <col min="3099" max="3332" width="9.140625" style="239"/>
    <col min="3333" max="3333" width="1.7109375" style="239" customWidth="1"/>
    <col min="3334" max="3334" width="4.85546875" style="239" customWidth="1"/>
    <col min="3335" max="3335" width="13.7109375" style="239" customWidth="1"/>
    <col min="3336" max="3336" width="40.42578125" style="239" customWidth="1"/>
    <col min="3337" max="3337" width="5.7109375" style="239" customWidth="1"/>
    <col min="3338" max="3338" width="12.5703125" style="239" customWidth="1"/>
    <col min="3339" max="3339" width="10.42578125" style="239" customWidth="1"/>
    <col min="3340" max="3340" width="11.7109375" style="239" customWidth="1"/>
    <col min="3341" max="3342" width="9.28515625" style="239" bestFit="1" customWidth="1"/>
    <col min="3343" max="3343" width="8.140625" style="239" customWidth="1"/>
    <col min="3344" max="3344" width="8" style="239" customWidth="1"/>
    <col min="3345" max="3346" width="12" style="239" customWidth="1"/>
    <col min="3347" max="3347" width="7.7109375" style="239" customWidth="1"/>
    <col min="3348" max="3348" width="11.28515625" style="239" bestFit="1" customWidth="1"/>
    <col min="3349" max="3352" width="9.28515625" style="239" bestFit="1" customWidth="1"/>
    <col min="3353" max="3353" width="9.28515625" style="239" customWidth="1"/>
    <col min="3354" max="3354" width="11.28515625" style="239" customWidth="1"/>
    <col min="3355" max="3588" width="9.140625" style="239"/>
    <col min="3589" max="3589" width="1.7109375" style="239" customWidth="1"/>
    <col min="3590" max="3590" width="4.85546875" style="239" customWidth="1"/>
    <col min="3591" max="3591" width="13.7109375" style="239" customWidth="1"/>
    <col min="3592" max="3592" width="40.42578125" style="239" customWidth="1"/>
    <col min="3593" max="3593" width="5.7109375" style="239" customWidth="1"/>
    <col min="3594" max="3594" width="12.5703125" style="239" customWidth="1"/>
    <col min="3595" max="3595" width="10.42578125" style="239" customWidth="1"/>
    <col min="3596" max="3596" width="11.7109375" style="239" customWidth="1"/>
    <col min="3597" max="3598" width="9.28515625" style="239" bestFit="1" customWidth="1"/>
    <col min="3599" max="3599" width="8.140625" style="239" customWidth="1"/>
    <col min="3600" max="3600" width="8" style="239" customWidth="1"/>
    <col min="3601" max="3602" width="12" style="239" customWidth="1"/>
    <col min="3603" max="3603" width="7.7109375" style="239" customWidth="1"/>
    <col min="3604" max="3604" width="11.28515625" style="239" bestFit="1" customWidth="1"/>
    <col min="3605" max="3608" width="9.28515625" style="239" bestFit="1" customWidth="1"/>
    <col min="3609" max="3609" width="9.28515625" style="239" customWidth="1"/>
    <col min="3610" max="3610" width="11.28515625" style="239" customWidth="1"/>
    <col min="3611" max="3844" width="9.140625" style="239"/>
    <col min="3845" max="3845" width="1.7109375" style="239" customWidth="1"/>
    <col min="3846" max="3846" width="4.85546875" style="239" customWidth="1"/>
    <col min="3847" max="3847" width="13.7109375" style="239" customWidth="1"/>
    <col min="3848" max="3848" width="40.42578125" style="239" customWidth="1"/>
    <col min="3849" max="3849" width="5.7109375" style="239" customWidth="1"/>
    <col min="3850" max="3850" width="12.5703125" style="239" customWidth="1"/>
    <col min="3851" max="3851" width="10.42578125" style="239" customWidth="1"/>
    <col min="3852" max="3852" width="11.7109375" style="239" customWidth="1"/>
    <col min="3853" max="3854" width="9.28515625" style="239" bestFit="1" customWidth="1"/>
    <col min="3855" max="3855" width="8.140625" style="239" customWidth="1"/>
    <col min="3856" max="3856" width="8" style="239" customWidth="1"/>
    <col min="3857" max="3858" width="12" style="239" customWidth="1"/>
    <col min="3859" max="3859" width="7.7109375" style="239" customWidth="1"/>
    <col min="3860" max="3860" width="11.28515625" style="239" bestFit="1" customWidth="1"/>
    <col min="3861" max="3864" width="9.28515625" style="239" bestFit="1" customWidth="1"/>
    <col min="3865" max="3865" width="9.28515625" style="239" customWidth="1"/>
    <col min="3866" max="3866" width="11.28515625" style="239" customWidth="1"/>
    <col min="3867" max="4100" width="9.140625" style="239"/>
    <col min="4101" max="4101" width="1.7109375" style="239" customWidth="1"/>
    <col min="4102" max="4102" width="4.85546875" style="239" customWidth="1"/>
    <col min="4103" max="4103" width="13.7109375" style="239" customWidth="1"/>
    <col min="4104" max="4104" width="40.42578125" style="239" customWidth="1"/>
    <col min="4105" max="4105" width="5.7109375" style="239" customWidth="1"/>
    <col min="4106" max="4106" width="12.5703125" style="239" customWidth="1"/>
    <col min="4107" max="4107" width="10.42578125" style="239" customWidth="1"/>
    <col min="4108" max="4108" width="11.7109375" style="239" customWidth="1"/>
    <col min="4109" max="4110" width="9.28515625" style="239" bestFit="1" customWidth="1"/>
    <col min="4111" max="4111" width="8.140625" style="239" customWidth="1"/>
    <col min="4112" max="4112" width="8" style="239" customWidth="1"/>
    <col min="4113" max="4114" width="12" style="239" customWidth="1"/>
    <col min="4115" max="4115" width="7.7109375" style="239" customWidth="1"/>
    <col min="4116" max="4116" width="11.28515625" style="239" bestFit="1" customWidth="1"/>
    <col min="4117" max="4120" width="9.28515625" style="239" bestFit="1" customWidth="1"/>
    <col min="4121" max="4121" width="9.28515625" style="239" customWidth="1"/>
    <col min="4122" max="4122" width="11.28515625" style="239" customWidth="1"/>
    <col min="4123" max="4356" width="9.140625" style="239"/>
    <col min="4357" max="4357" width="1.7109375" style="239" customWidth="1"/>
    <col min="4358" max="4358" width="4.85546875" style="239" customWidth="1"/>
    <col min="4359" max="4359" width="13.7109375" style="239" customWidth="1"/>
    <col min="4360" max="4360" width="40.42578125" style="239" customWidth="1"/>
    <col min="4361" max="4361" width="5.7109375" style="239" customWidth="1"/>
    <col min="4362" max="4362" width="12.5703125" style="239" customWidth="1"/>
    <col min="4363" max="4363" width="10.42578125" style="239" customWidth="1"/>
    <col min="4364" max="4364" width="11.7109375" style="239" customWidth="1"/>
    <col min="4365" max="4366" width="9.28515625" style="239" bestFit="1" customWidth="1"/>
    <col min="4367" max="4367" width="8.140625" style="239" customWidth="1"/>
    <col min="4368" max="4368" width="8" style="239" customWidth="1"/>
    <col min="4369" max="4370" width="12" style="239" customWidth="1"/>
    <col min="4371" max="4371" width="7.7109375" style="239" customWidth="1"/>
    <col min="4372" max="4372" width="11.28515625" style="239" bestFit="1" customWidth="1"/>
    <col min="4373" max="4376" width="9.28515625" style="239" bestFit="1" customWidth="1"/>
    <col min="4377" max="4377" width="9.28515625" style="239" customWidth="1"/>
    <col min="4378" max="4378" width="11.28515625" style="239" customWidth="1"/>
    <col min="4379" max="4612" width="9.140625" style="239"/>
    <col min="4613" max="4613" width="1.7109375" style="239" customWidth="1"/>
    <col min="4614" max="4614" width="4.85546875" style="239" customWidth="1"/>
    <col min="4615" max="4615" width="13.7109375" style="239" customWidth="1"/>
    <col min="4616" max="4616" width="40.42578125" style="239" customWidth="1"/>
    <col min="4617" max="4617" width="5.7109375" style="239" customWidth="1"/>
    <col min="4618" max="4618" width="12.5703125" style="239" customWidth="1"/>
    <col min="4619" max="4619" width="10.42578125" style="239" customWidth="1"/>
    <col min="4620" max="4620" width="11.7109375" style="239" customWidth="1"/>
    <col min="4621" max="4622" width="9.28515625" style="239" bestFit="1" customWidth="1"/>
    <col min="4623" max="4623" width="8.140625" style="239" customWidth="1"/>
    <col min="4624" max="4624" width="8" style="239" customWidth="1"/>
    <col min="4625" max="4626" width="12" style="239" customWidth="1"/>
    <col min="4627" max="4627" width="7.7109375" style="239" customWidth="1"/>
    <col min="4628" max="4628" width="11.28515625" style="239" bestFit="1" customWidth="1"/>
    <col min="4629" max="4632" width="9.28515625" style="239" bestFit="1" customWidth="1"/>
    <col min="4633" max="4633" width="9.28515625" style="239" customWidth="1"/>
    <col min="4634" max="4634" width="11.28515625" style="239" customWidth="1"/>
    <col min="4635" max="4868" width="9.140625" style="239"/>
    <col min="4869" max="4869" width="1.7109375" style="239" customWidth="1"/>
    <col min="4870" max="4870" width="4.85546875" style="239" customWidth="1"/>
    <col min="4871" max="4871" width="13.7109375" style="239" customWidth="1"/>
    <col min="4872" max="4872" width="40.42578125" style="239" customWidth="1"/>
    <col min="4873" max="4873" width="5.7109375" style="239" customWidth="1"/>
    <col min="4874" max="4874" width="12.5703125" style="239" customWidth="1"/>
    <col min="4875" max="4875" width="10.42578125" style="239" customWidth="1"/>
    <col min="4876" max="4876" width="11.7109375" style="239" customWidth="1"/>
    <col min="4877" max="4878" width="9.28515625" style="239" bestFit="1" customWidth="1"/>
    <col min="4879" max="4879" width="8.140625" style="239" customWidth="1"/>
    <col min="4880" max="4880" width="8" style="239" customWidth="1"/>
    <col min="4881" max="4882" width="12" style="239" customWidth="1"/>
    <col min="4883" max="4883" width="7.7109375" style="239" customWidth="1"/>
    <col min="4884" max="4884" width="11.28515625" style="239" bestFit="1" customWidth="1"/>
    <col min="4885" max="4888" width="9.28515625" style="239" bestFit="1" customWidth="1"/>
    <col min="4889" max="4889" width="9.28515625" style="239" customWidth="1"/>
    <col min="4890" max="4890" width="11.28515625" style="239" customWidth="1"/>
    <col min="4891" max="5124" width="9.140625" style="239"/>
    <col min="5125" max="5125" width="1.7109375" style="239" customWidth="1"/>
    <col min="5126" max="5126" width="4.85546875" style="239" customWidth="1"/>
    <col min="5127" max="5127" width="13.7109375" style="239" customWidth="1"/>
    <col min="5128" max="5128" width="40.42578125" style="239" customWidth="1"/>
    <col min="5129" max="5129" width="5.7109375" style="239" customWidth="1"/>
    <col min="5130" max="5130" width="12.5703125" style="239" customWidth="1"/>
    <col min="5131" max="5131" width="10.42578125" style="239" customWidth="1"/>
    <col min="5132" max="5132" width="11.7109375" style="239" customWidth="1"/>
    <col min="5133" max="5134" width="9.28515625" style="239" bestFit="1" customWidth="1"/>
    <col min="5135" max="5135" width="8.140625" style="239" customWidth="1"/>
    <col min="5136" max="5136" width="8" style="239" customWidth="1"/>
    <col min="5137" max="5138" width="12" style="239" customWidth="1"/>
    <col min="5139" max="5139" width="7.7109375" style="239" customWidth="1"/>
    <col min="5140" max="5140" width="11.28515625" style="239" bestFit="1" customWidth="1"/>
    <col min="5141" max="5144" width="9.28515625" style="239" bestFit="1" customWidth="1"/>
    <col min="5145" max="5145" width="9.28515625" style="239" customWidth="1"/>
    <col min="5146" max="5146" width="11.28515625" style="239" customWidth="1"/>
    <col min="5147" max="5380" width="9.140625" style="239"/>
    <col min="5381" max="5381" width="1.7109375" style="239" customWidth="1"/>
    <col min="5382" max="5382" width="4.85546875" style="239" customWidth="1"/>
    <col min="5383" max="5383" width="13.7109375" style="239" customWidth="1"/>
    <col min="5384" max="5384" width="40.42578125" style="239" customWidth="1"/>
    <col min="5385" max="5385" width="5.7109375" style="239" customWidth="1"/>
    <col min="5386" max="5386" width="12.5703125" style="239" customWidth="1"/>
    <col min="5387" max="5387" width="10.42578125" style="239" customWidth="1"/>
    <col min="5388" max="5388" width="11.7109375" style="239" customWidth="1"/>
    <col min="5389" max="5390" width="9.28515625" style="239" bestFit="1" customWidth="1"/>
    <col min="5391" max="5391" width="8.140625" style="239" customWidth="1"/>
    <col min="5392" max="5392" width="8" style="239" customWidth="1"/>
    <col min="5393" max="5394" width="12" style="239" customWidth="1"/>
    <col min="5395" max="5395" width="7.7109375" style="239" customWidth="1"/>
    <col min="5396" max="5396" width="11.28515625" style="239" bestFit="1" customWidth="1"/>
    <col min="5397" max="5400" width="9.28515625" style="239" bestFit="1" customWidth="1"/>
    <col min="5401" max="5401" width="9.28515625" style="239" customWidth="1"/>
    <col min="5402" max="5402" width="11.28515625" style="239" customWidth="1"/>
    <col min="5403" max="5636" width="9.140625" style="239"/>
    <col min="5637" max="5637" width="1.7109375" style="239" customWidth="1"/>
    <col min="5638" max="5638" width="4.85546875" style="239" customWidth="1"/>
    <col min="5639" max="5639" width="13.7109375" style="239" customWidth="1"/>
    <col min="5640" max="5640" width="40.42578125" style="239" customWidth="1"/>
    <col min="5641" max="5641" width="5.7109375" style="239" customWidth="1"/>
    <col min="5642" max="5642" width="12.5703125" style="239" customWidth="1"/>
    <col min="5643" max="5643" width="10.42578125" style="239" customWidth="1"/>
    <col min="5644" max="5644" width="11.7109375" style="239" customWidth="1"/>
    <col min="5645" max="5646" width="9.28515625" style="239" bestFit="1" customWidth="1"/>
    <col min="5647" max="5647" width="8.140625" style="239" customWidth="1"/>
    <col min="5648" max="5648" width="8" style="239" customWidth="1"/>
    <col min="5649" max="5650" width="12" style="239" customWidth="1"/>
    <col min="5651" max="5651" width="7.7109375" style="239" customWidth="1"/>
    <col min="5652" max="5652" width="11.28515625" style="239" bestFit="1" customWidth="1"/>
    <col min="5653" max="5656" width="9.28515625" style="239" bestFit="1" customWidth="1"/>
    <col min="5657" max="5657" width="9.28515625" style="239" customWidth="1"/>
    <col min="5658" max="5658" width="11.28515625" style="239" customWidth="1"/>
    <col min="5659" max="5892" width="9.140625" style="239"/>
    <col min="5893" max="5893" width="1.7109375" style="239" customWidth="1"/>
    <col min="5894" max="5894" width="4.85546875" style="239" customWidth="1"/>
    <col min="5895" max="5895" width="13.7109375" style="239" customWidth="1"/>
    <col min="5896" max="5896" width="40.42578125" style="239" customWidth="1"/>
    <col min="5897" max="5897" width="5.7109375" style="239" customWidth="1"/>
    <col min="5898" max="5898" width="12.5703125" style="239" customWidth="1"/>
    <col min="5899" max="5899" width="10.42578125" style="239" customWidth="1"/>
    <col min="5900" max="5900" width="11.7109375" style="239" customWidth="1"/>
    <col min="5901" max="5902" width="9.28515625" style="239" bestFit="1" customWidth="1"/>
    <col min="5903" max="5903" width="8.140625" style="239" customWidth="1"/>
    <col min="5904" max="5904" width="8" style="239" customWidth="1"/>
    <col min="5905" max="5906" width="12" style="239" customWidth="1"/>
    <col min="5907" max="5907" width="7.7109375" style="239" customWidth="1"/>
    <col min="5908" max="5908" width="11.28515625" style="239" bestFit="1" customWidth="1"/>
    <col min="5909" max="5912" width="9.28515625" style="239" bestFit="1" customWidth="1"/>
    <col min="5913" max="5913" width="9.28515625" style="239" customWidth="1"/>
    <col min="5914" max="5914" width="11.28515625" style="239" customWidth="1"/>
    <col min="5915" max="6148" width="9.140625" style="239"/>
    <col min="6149" max="6149" width="1.7109375" style="239" customWidth="1"/>
    <col min="6150" max="6150" width="4.85546875" style="239" customWidth="1"/>
    <col min="6151" max="6151" width="13.7109375" style="239" customWidth="1"/>
    <col min="6152" max="6152" width="40.42578125" style="239" customWidth="1"/>
    <col min="6153" max="6153" width="5.7109375" style="239" customWidth="1"/>
    <col min="6154" max="6154" width="12.5703125" style="239" customWidth="1"/>
    <col min="6155" max="6155" width="10.42578125" style="239" customWidth="1"/>
    <col min="6156" max="6156" width="11.7109375" style="239" customWidth="1"/>
    <col min="6157" max="6158" width="9.28515625" style="239" bestFit="1" customWidth="1"/>
    <col min="6159" max="6159" width="8.140625" style="239" customWidth="1"/>
    <col min="6160" max="6160" width="8" style="239" customWidth="1"/>
    <col min="6161" max="6162" width="12" style="239" customWidth="1"/>
    <col min="6163" max="6163" width="7.7109375" style="239" customWidth="1"/>
    <col min="6164" max="6164" width="11.28515625" style="239" bestFit="1" customWidth="1"/>
    <col min="6165" max="6168" width="9.28515625" style="239" bestFit="1" customWidth="1"/>
    <col min="6169" max="6169" width="9.28515625" style="239" customWidth="1"/>
    <col min="6170" max="6170" width="11.28515625" style="239" customWidth="1"/>
    <col min="6171" max="6404" width="9.140625" style="239"/>
    <col min="6405" max="6405" width="1.7109375" style="239" customWidth="1"/>
    <col min="6406" max="6406" width="4.85546875" style="239" customWidth="1"/>
    <col min="6407" max="6407" width="13.7109375" style="239" customWidth="1"/>
    <col min="6408" max="6408" width="40.42578125" style="239" customWidth="1"/>
    <col min="6409" max="6409" width="5.7109375" style="239" customWidth="1"/>
    <col min="6410" max="6410" width="12.5703125" style="239" customWidth="1"/>
    <col min="6411" max="6411" width="10.42578125" style="239" customWidth="1"/>
    <col min="6412" max="6412" width="11.7109375" style="239" customWidth="1"/>
    <col min="6413" max="6414" width="9.28515625" style="239" bestFit="1" customWidth="1"/>
    <col min="6415" max="6415" width="8.140625" style="239" customWidth="1"/>
    <col min="6416" max="6416" width="8" style="239" customWidth="1"/>
    <col min="6417" max="6418" width="12" style="239" customWidth="1"/>
    <col min="6419" max="6419" width="7.7109375" style="239" customWidth="1"/>
    <col min="6420" max="6420" width="11.28515625" style="239" bestFit="1" customWidth="1"/>
    <col min="6421" max="6424" width="9.28515625" style="239" bestFit="1" customWidth="1"/>
    <col min="6425" max="6425" width="9.28515625" style="239" customWidth="1"/>
    <col min="6426" max="6426" width="11.28515625" style="239" customWidth="1"/>
    <col min="6427" max="6660" width="9.140625" style="239"/>
    <col min="6661" max="6661" width="1.7109375" style="239" customWidth="1"/>
    <col min="6662" max="6662" width="4.85546875" style="239" customWidth="1"/>
    <col min="6663" max="6663" width="13.7109375" style="239" customWidth="1"/>
    <col min="6664" max="6664" width="40.42578125" style="239" customWidth="1"/>
    <col min="6665" max="6665" width="5.7109375" style="239" customWidth="1"/>
    <col min="6666" max="6666" width="12.5703125" style="239" customWidth="1"/>
    <col min="6667" max="6667" width="10.42578125" style="239" customWidth="1"/>
    <col min="6668" max="6668" width="11.7109375" style="239" customWidth="1"/>
    <col min="6669" max="6670" width="9.28515625" style="239" bestFit="1" customWidth="1"/>
    <col min="6671" max="6671" width="8.140625" style="239" customWidth="1"/>
    <col min="6672" max="6672" width="8" style="239" customWidth="1"/>
    <col min="6673" max="6674" width="12" style="239" customWidth="1"/>
    <col min="6675" max="6675" width="7.7109375" style="239" customWidth="1"/>
    <col min="6676" max="6676" width="11.28515625" style="239" bestFit="1" customWidth="1"/>
    <col min="6677" max="6680" width="9.28515625" style="239" bestFit="1" customWidth="1"/>
    <col min="6681" max="6681" width="9.28515625" style="239" customWidth="1"/>
    <col min="6682" max="6682" width="11.28515625" style="239" customWidth="1"/>
    <col min="6683" max="6916" width="9.140625" style="239"/>
    <col min="6917" max="6917" width="1.7109375" style="239" customWidth="1"/>
    <col min="6918" max="6918" width="4.85546875" style="239" customWidth="1"/>
    <col min="6919" max="6919" width="13.7109375" style="239" customWidth="1"/>
    <col min="6920" max="6920" width="40.42578125" style="239" customWidth="1"/>
    <col min="6921" max="6921" width="5.7109375" style="239" customWidth="1"/>
    <col min="6922" max="6922" width="12.5703125" style="239" customWidth="1"/>
    <col min="6923" max="6923" width="10.42578125" style="239" customWidth="1"/>
    <col min="6924" max="6924" width="11.7109375" style="239" customWidth="1"/>
    <col min="6925" max="6926" width="9.28515625" style="239" bestFit="1" customWidth="1"/>
    <col min="6927" max="6927" width="8.140625" style="239" customWidth="1"/>
    <col min="6928" max="6928" width="8" style="239" customWidth="1"/>
    <col min="6929" max="6930" width="12" style="239" customWidth="1"/>
    <col min="6931" max="6931" width="7.7109375" style="239" customWidth="1"/>
    <col min="6932" max="6932" width="11.28515625" style="239" bestFit="1" customWidth="1"/>
    <col min="6933" max="6936" width="9.28515625" style="239" bestFit="1" customWidth="1"/>
    <col min="6937" max="6937" width="9.28515625" style="239" customWidth="1"/>
    <col min="6938" max="6938" width="11.28515625" style="239" customWidth="1"/>
    <col min="6939" max="7172" width="9.140625" style="239"/>
    <col min="7173" max="7173" width="1.7109375" style="239" customWidth="1"/>
    <col min="7174" max="7174" width="4.85546875" style="239" customWidth="1"/>
    <col min="7175" max="7175" width="13.7109375" style="239" customWidth="1"/>
    <col min="7176" max="7176" width="40.42578125" style="239" customWidth="1"/>
    <col min="7177" max="7177" width="5.7109375" style="239" customWidth="1"/>
    <col min="7178" max="7178" width="12.5703125" style="239" customWidth="1"/>
    <col min="7179" max="7179" width="10.42578125" style="239" customWidth="1"/>
    <col min="7180" max="7180" width="11.7109375" style="239" customWidth="1"/>
    <col min="7181" max="7182" width="9.28515625" style="239" bestFit="1" customWidth="1"/>
    <col min="7183" max="7183" width="8.140625" style="239" customWidth="1"/>
    <col min="7184" max="7184" width="8" style="239" customWidth="1"/>
    <col min="7185" max="7186" width="12" style="239" customWidth="1"/>
    <col min="7187" max="7187" width="7.7109375" style="239" customWidth="1"/>
    <col min="7188" max="7188" width="11.28515625" style="239" bestFit="1" customWidth="1"/>
    <col min="7189" max="7192" width="9.28515625" style="239" bestFit="1" customWidth="1"/>
    <col min="7193" max="7193" width="9.28515625" style="239" customWidth="1"/>
    <col min="7194" max="7194" width="11.28515625" style="239" customWidth="1"/>
    <col min="7195" max="7428" width="9.140625" style="239"/>
    <col min="7429" max="7429" width="1.7109375" style="239" customWidth="1"/>
    <col min="7430" max="7430" width="4.85546875" style="239" customWidth="1"/>
    <col min="7431" max="7431" width="13.7109375" style="239" customWidth="1"/>
    <col min="7432" max="7432" width="40.42578125" style="239" customWidth="1"/>
    <col min="7433" max="7433" width="5.7109375" style="239" customWidth="1"/>
    <col min="7434" max="7434" width="12.5703125" style="239" customWidth="1"/>
    <col min="7435" max="7435" width="10.42578125" style="239" customWidth="1"/>
    <col min="7436" max="7436" width="11.7109375" style="239" customWidth="1"/>
    <col min="7437" max="7438" width="9.28515625" style="239" bestFit="1" customWidth="1"/>
    <col min="7439" max="7439" width="8.140625" style="239" customWidth="1"/>
    <col min="7440" max="7440" width="8" style="239" customWidth="1"/>
    <col min="7441" max="7442" width="12" style="239" customWidth="1"/>
    <col min="7443" max="7443" width="7.7109375" style="239" customWidth="1"/>
    <col min="7444" max="7444" width="11.28515625" style="239" bestFit="1" customWidth="1"/>
    <col min="7445" max="7448" width="9.28515625" style="239" bestFit="1" customWidth="1"/>
    <col min="7449" max="7449" width="9.28515625" style="239" customWidth="1"/>
    <col min="7450" max="7450" width="11.28515625" style="239" customWidth="1"/>
    <col min="7451" max="7684" width="9.140625" style="239"/>
    <col min="7685" max="7685" width="1.7109375" style="239" customWidth="1"/>
    <col min="7686" max="7686" width="4.85546875" style="239" customWidth="1"/>
    <col min="7687" max="7687" width="13.7109375" style="239" customWidth="1"/>
    <col min="7688" max="7688" width="40.42578125" style="239" customWidth="1"/>
    <col min="7689" max="7689" width="5.7109375" style="239" customWidth="1"/>
    <col min="7690" max="7690" width="12.5703125" style="239" customWidth="1"/>
    <col min="7691" max="7691" width="10.42578125" style="239" customWidth="1"/>
    <col min="7692" max="7692" width="11.7109375" style="239" customWidth="1"/>
    <col min="7693" max="7694" width="9.28515625" style="239" bestFit="1" customWidth="1"/>
    <col min="7695" max="7695" width="8.140625" style="239" customWidth="1"/>
    <col min="7696" max="7696" width="8" style="239" customWidth="1"/>
    <col min="7697" max="7698" width="12" style="239" customWidth="1"/>
    <col min="7699" max="7699" width="7.7109375" style="239" customWidth="1"/>
    <col min="7700" max="7700" width="11.28515625" style="239" bestFit="1" customWidth="1"/>
    <col min="7701" max="7704" width="9.28515625" style="239" bestFit="1" customWidth="1"/>
    <col min="7705" max="7705" width="9.28515625" style="239" customWidth="1"/>
    <col min="7706" max="7706" width="11.28515625" style="239" customWidth="1"/>
    <col min="7707" max="7940" width="9.140625" style="239"/>
    <col min="7941" max="7941" width="1.7109375" style="239" customWidth="1"/>
    <col min="7942" max="7942" width="4.85546875" style="239" customWidth="1"/>
    <col min="7943" max="7943" width="13.7109375" style="239" customWidth="1"/>
    <col min="7944" max="7944" width="40.42578125" style="239" customWidth="1"/>
    <col min="7945" max="7945" width="5.7109375" style="239" customWidth="1"/>
    <col min="7946" max="7946" width="12.5703125" style="239" customWidth="1"/>
    <col min="7947" max="7947" width="10.42578125" style="239" customWidth="1"/>
    <col min="7948" max="7948" width="11.7109375" style="239" customWidth="1"/>
    <col min="7949" max="7950" width="9.28515625" style="239" bestFit="1" customWidth="1"/>
    <col min="7951" max="7951" width="8.140625" style="239" customWidth="1"/>
    <col min="7952" max="7952" width="8" style="239" customWidth="1"/>
    <col min="7953" max="7954" width="12" style="239" customWidth="1"/>
    <col min="7955" max="7955" width="7.7109375" style="239" customWidth="1"/>
    <col min="7956" max="7956" width="11.28515625" style="239" bestFit="1" customWidth="1"/>
    <col min="7957" max="7960" width="9.28515625" style="239" bestFit="1" customWidth="1"/>
    <col min="7961" max="7961" width="9.28515625" style="239" customWidth="1"/>
    <col min="7962" max="7962" width="11.28515625" style="239" customWidth="1"/>
    <col min="7963" max="8196" width="9.140625" style="239"/>
    <col min="8197" max="8197" width="1.7109375" style="239" customWidth="1"/>
    <col min="8198" max="8198" width="4.85546875" style="239" customWidth="1"/>
    <col min="8199" max="8199" width="13.7109375" style="239" customWidth="1"/>
    <col min="8200" max="8200" width="40.42578125" style="239" customWidth="1"/>
    <col min="8201" max="8201" width="5.7109375" style="239" customWidth="1"/>
    <col min="8202" max="8202" width="12.5703125" style="239" customWidth="1"/>
    <col min="8203" max="8203" width="10.42578125" style="239" customWidth="1"/>
    <col min="8204" max="8204" width="11.7109375" style="239" customWidth="1"/>
    <col min="8205" max="8206" width="9.28515625" style="239" bestFit="1" customWidth="1"/>
    <col min="8207" max="8207" width="8.140625" style="239" customWidth="1"/>
    <col min="8208" max="8208" width="8" style="239" customWidth="1"/>
    <col min="8209" max="8210" width="12" style="239" customWidth="1"/>
    <col min="8211" max="8211" width="7.7109375" style="239" customWidth="1"/>
    <col min="8212" max="8212" width="11.28515625" style="239" bestFit="1" customWidth="1"/>
    <col min="8213" max="8216" width="9.28515625" style="239" bestFit="1" customWidth="1"/>
    <col min="8217" max="8217" width="9.28515625" style="239" customWidth="1"/>
    <col min="8218" max="8218" width="11.28515625" style="239" customWidth="1"/>
    <col min="8219" max="8452" width="9.140625" style="239"/>
    <col min="8453" max="8453" width="1.7109375" style="239" customWidth="1"/>
    <col min="8454" max="8454" width="4.85546875" style="239" customWidth="1"/>
    <col min="8455" max="8455" width="13.7109375" style="239" customWidth="1"/>
    <col min="8456" max="8456" width="40.42578125" style="239" customWidth="1"/>
    <col min="8457" max="8457" width="5.7109375" style="239" customWidth="1"/>
    <col min="8458" max="8458" width="12.5703125" style="239" customWidth="1"/>
    <col min="8459" max="8459" width="10.42578125" style="239" customWidth="1"/>
    <col min="8460" max="8460" width="11.7109375" style="239" customWidth="1"/>
    <col min="8461" max="8462" width="9.28515625" style="239" bestFit="1" customWidth="1"/>
    <col min="8463" max="8463" width="8.140625" style="239" customWidth="1"/>
    <col min="8464" max="8464" width="8" style="239" customWidth="1"/>
    <col min="8465" max="8466" width="12" style="239" customWidth="1"/>
    <col min="8467" max="8467" width="7.7109375" style="239" customWidth="1"/>
    <col min="8468" max="8468" width="11.28515625" style="239" bestFit="1" customWidth="1"/>
    <col min="8469" max="8472" width="9.28515625" style="239" bestFit="1" customWidth="1"/>
    <col min="8473" max="8473" width="9.28515625" style="239" customWidth="1"/>
    <col min="8474" max="8474" width="11.28515625" style="239" customWidth="1"/>
    <col min="8475" max="8708" width="9.140625" style="239"/>
    <col min="8709" max="8709" width="1.7109375" style="239" customWidth="1"/>
    <col min="8710" max="8710" width="4.85546875" style="239" customWidth="1"/>
    <col min="8711" max="8711" width="13.7109375" style="239" customWidth="1"/>
    <col min="8712" max="8712" width="40.42578125" style="239" customWidth="1"/>
    <col min="8713" max="8713" width="5.7109375" style="239" customWidth="1"/>
    <col min="8714" max="8714" width="12.5703125" style="239" customWidth="1"/>
    <col min="8715" max="8715" width="10.42578125" style="239" customWidth="1"/>
    <col min="8716" max="8716" width="11.7109375" style="239" customWidth="1"/>
    <col min="8717" max="8718" width="9.28515625" style="239" bestFit="1" customWidth="1"/>
    <col min="8719" max="8719" width="8.140625" style="239" customWidth="1"/>
    <col min="8720" max="8720" width="8" style="239" customWidth="1"/>
    <col min="8721" max="8722" width="12" style="239" customWidth="1"/>
    <col min="8723" max="8723" width="7.7109375" style="239" customWidth="1"/>
    <col min="8724" max="8724" width="11.28515625" style="239" bestFit="1" customWidth="1"/>
    <col min="8725" max="8728" width="9.28515625" style="239" bestFit="1" customWidth="1"/>
    <col min="8729" max="8729" width="9.28515625" style="239" customWidth="1"/>
    <col min="8730" max="8730" width="11.28515625" style="239" customWidth="1"/>
    <col min="8731" max="8964" width="9.140625" style="239"/>
    <col min="8965" max="8965" width="1.7109375" style="239" customWidth="1"/>
    <col min="8966" max="8966" width="4.85546875" style="239" customWidth="1"/>
    <col min="8967" max="8967" width="13.7109375" style="239" customWidth="1"/>
    <col min="8968" max="8968" width="40.42578125" style="239" customWidth="1"/>
    <col min="8969" max="8969" width="5.7109375" style="239" customWidth="1"/>
    <col min="8970" max="8970" width="12.5703125" style="239" customWidth="1"/>
    <col min="8971" max="8971" width="10.42578125" style="239" customWidth="1"/>
    <col min="8972" max="8972" width="11.7109375" style="239" customWidth="1"/>
    <col min="8973" max="8974" width="9.28515625" style="239" bestFit="1" customWidth="1"/>
    <col min="8975" max="8975" width="8.140625" style="239" customWidth="1"/>
    <col min="8976" max="8976" width="8" style="239" customWidth="1"/>
    <col min="8977" max="8978" width="12" style="239" customWidth="1"/>
    <col min="8979" max="8979" width="7.7109375" style="239" customWidth="1"/>
    <col min="8980" max="8980" width="11.28515625" style="239" bestFit="1" customWidth="1"/>
    <col min="8981" max="8984" width="9.28515625" style="239" bestFit="1" customWidth="1"/>
    <col min="8985" max="8985" width="9.28515625" style="239" customWidth="1"/>
    <col min="8986" max="8986" width="11.28515625" style="239" customWidth="1"/>
    <col min="8987" max="9220" width="9.140625" style="239"/>
    <col min="9221" max="9221" width="1.7109375" style="239" customWidth="1"/>
    <col min="9222" max="9222" width="4.85546875" style="239" customWidth="1"/>
    <col min="9223" max="9223" width="13.7109375" style="239" customWidth="1"/>
    <col min="9224" max="9224" width="40.42578125" style="239" customWidth="1"/>
    <col min="9225" max="9225" width="5.7109375" style="239" customWidth="1"/>
    <col min="9226" max="9226" width="12.5703125" style="239" customWidth="1"/>
    <col min="9227" max="9227" width="10.42578125" style="239" customWidth="1"/>
    <col min="9228" max="9228" width="11.7109375" style="239" customWidth="1"/>
    <col min="9229" max="9230" width="9.28515625" style="239" bestFit="1" customWidth="1"/>
    <col min="9231" max="9231" width="8.140625" style="239" customWidth="1"/>
    <col min="9232" max="9232" width="8" style="239" customWidth="1"/>
    <col min="9233" max="9234" width="12" style="239" customWidth="1"/>
    <col min="9235" max="9235" width="7.7109375" style="239" customWidth="1"/>
    <col min="9236" max="9236" width="11.28515625" style="239" bestFit="1" customWidth="1"/>
    <col min="9237" max="9240" width="9.28515625" style="239" bestFit="1" customWidth="1"/>
    <col min="9241" max="9241" width="9.28515625" style="239" customWidth="1"/>
    <col min="9242" max="9242" width="11.28515625" style="239" customWidth="1"/>
    <col min="9243" max="9476" width="9.140625" style="239"/>
    <col min="9477" max="9477" width="1.7109375" style="239" customWidth="1"/>
    <col min="9478" max="9478" width="4.85546875" style="239" customWidth="1"/>
    <col min="9479" max="9479" width="13.7109375" style="239" customWidth="1"/>
    <col min="9480" max="9480" width="40.42578125" style="239" customWidth="1"/>
    <col min="9481" max="9481" width="5.7109375" style="239" customWidth="1"/>
    <col min="9482" max="9482" width="12.5703125" style="239" customWidth="1"/>
    <col min="9483" max="9483" width="10.42578125" style="239" customWidth="1"/>
    <col min="9484" max="9484" width="11.7109375" style="239" customWidth="1"/>
    <col min="9485" max="9486" width="9.28515625" style="239" bestFit="1" customWidth="1"/>
    <col min="9487" max="9487" width="8.140625" style="239" customWidth="1"/>
    <col min="9488" max="9488" width="8" style="239" customWidth="1"/>
    <col min="9489" max="9490" width="12" style="239" customWidth="1"/>
    <col min="9491" max="9491" width="7.7109375" style="239" customWidth="1"/>
    <col min="9492" max="9492" width="11.28515625" style="239" bestFit="1" customWidth="1"/>
    <col min="9493" max="9496" width="9.28515625" style="239" bestFit="1" customWidth="1"/>
    <col min="9497" max="9497" width="9.28515625" style="239" customWidth="1"/>
    <col min="9498" max="9498" width="11.28515625" style="239" customWidth="1"/>
    <col min="9499" max="9732" width="9.140625" style="239"/>
    <col min="9733" max="9733" width="1.7109375" style="239" customWidth="1"/>
    <col min="9734" max="9734" width="4.85546875" style="239" customWidth="1"/>
    <col min="9735" max="9735" width="13.7109375" style="239" customWidth="1"/>
    <col min="9736" max="9736" width="40.42578125" style="239" customWidth="1"/>
    <col min="9737" max="9737" width="5.7109375" style="239" customWidth="1"/>
    <col min="9738" max="9738" width="12.5703125" style="239" customWidth="1"/>
    <col min="9739" max="9739" width="10.42578125" style="239" customWidth="1"/>
    <col min="9740" max="9740" width="11.7109375" style="239" customWidth="1"/>
    <col min="9741" max="9742" width="9.28515625" style="239" bestFit="1" customWidth="1"/>
    <col min="9743" max="9743" width="8.140625" style="239" customWidth="1"/>
    <col min="9744" max="9744" width="8" style="239" customWidth="1"/>
    <col min="9745" max="9746" width="12" style="239" customWidth="1"/>
    <col min="9747" max="9747" width="7.7109375" style="239" customWidth="1"/>
    <col min="9748" max="9748" width="11.28515625" style="239" bestFit="1" customWidth="1"/>
    <col min="9749" max="9752" width="9.28515625" style="239" bestFit="1" customWidth="1"/>
    <col min="9753" max="9753" width="9.28515625" style="239" customWidth="1"/>
    <col min="9754" max="9754" width="11.28515625" style="239" customWidth="1"/>
    <col min="9755" max="9988" width="9.140625" style="239"/>
    <col min="9989" max="9989" width="1.7109375" style="239" customWidth="1"/>
    <col min="9990" max="9990" width="4.85546875" style="239" customWidth="1"/>
    <col min="9991" max="9991" width="13.7109375" style="239" customWidth="1"/>
    <col min="9992" max="9992" width="40.42578125" style="239" customWidth="1"/>
    <col min="9993" max="9993" width="5.7109375" style="239" customWidth="1"/>
    <col min="9994" max="9994" width="12.5703125" style="239" customWidth="1"/>
    <col min="9995" max="9995" width="10.42578125" style="239" customWidth="1"/>
    <col min="9996" max="9996" width="11.7109375" style="239" customWidth="1"/>
    <col min="9997" max="9998" width="9.28515625" style="239" bestFit="1" customWidth="1"/>
    <col min="9999" max="9999" width="8.140625" style="239" customWidth="1"/>
    <col min="10000" max="10000" width="8" style="239" customWidth="1"/>
    <col min="10001" max="10002" width="12" style="239" customWidth="1"/>
    <col min="10003" max="10003" width="7.7109375" style="239" customWidth="1"/>
    <col min="10004" max="10004" width="11.28515625" style="239" bestFit="1" customWidth="1"/>
    <col min="10005" max="10008" width="9.28515625" style="239" bestFit="1" customWidth="1"/>
    <col min="10009" max="10009" width="9.28515625" style="239" customWidth="1"/>
    <col min="10010" max="10010" width="11.28515625" style="239" customWidth="1"/>
    <col min="10011" max="10244" width="9.140625" style="239"/>
    <col min="10245" max="10245" width="1.7109375" style="239" customWidth="1"/>
    <col min="10246" max="10246" width="4.85546875" style="239" customWidth="1"/>
    <col min="10247" max="10247" width="13.7109375" style="239" customWidth="1"/>
    <col min="10248" max="10248" width="40.42578125" style="239" customWidth="1"/>
    <col min="10249" max="10249" width="5.7109375" style="239" customWidth="1"/>
    <col min="10250" max="10250" width="12.5703125" style="239" customWidth="1"/>
    <col min="10251" max="10251" width="10.42578125" style="239" customWidth="1"/>
    <col min="10252" max="10252" width="11.7109375" style="239" customWidth="1"/>
    <col min="10253" max="10254" width="9.28515625" style="239" bestFit="1" customWidth="1"/>
    <col min="10255" max="10255" width="8.140625" style="239" customWidth="1"/>
    <col min="10256" max="10256" width="8" style="239" customWidth="1"/>
    <col min="10257" max="10258" width="12" style="239" customWidth="1"/>
    <col min="10259" max="10259" width="7.7109375" style="239" customWidth="1"/>
    <col min="10260" max="10260" width="11.28515625" style="239" bestFit="1" customWidth="1"/>
    <col min="10261" max="10264" width="9.28515625" style="239" bestFit="1" customWidth="1"/>
    <col min="10265" max="10265" width="9.28515625" style="239" customWidth="1"/>
    <col min="10266" max="10266" width="11.28515625" style="239" customWidth="1"/>
    <col min="10267" max="10500" width="9.140625" style="239"/>
    <col min="10501" max="10501" width="1.7109375" style="239" customWidth="1"/>
    <col min="10502" max="10502" width="4.85546875" style="239" customWidth="1"/>
    <col min="10503" max="10503" width="13.7109375" style="239" customWidth="1"/>
    <col min="10504" max="10504" width="40.42578125" style="239" customWidth="1"/>
    <col min="10505" max="10505" width="5.7109375" style="239" customWidth="1"/>
    <col min="10506" max="10506" width="12.5703125" style="239" customWidth="1"/>
    <col min="10507" max="10507" width="10.42578125" style="239" customWidth="1"/>
    <col min="10508" max="10508" width="11.7109375" style="239" customWidth="1"/>
    <col min="10509" max="10510" width="9.28515625" style="239" bestFit="1" customWidth="1"/>
    <col min="10511" max="10511" width="8.140625" style="239" customWidth="1"/>
    <col min="10512" max="10512" width="8" style="239" customWidth="1"/>
    <col min="10513" max="10514" width="12" style="239" customWidth="1"/>
    <col min="10515" max="10515" width="7.7109375" style="239" customWidth="1"/>
    <col min="10516" max="10516" width="11.28515625" style="239" bestFit="1" customWidth="1"/>
    <col min="10517" max="10520" width="9.28515625" style="239" bestFit="1" customWidth="1"/>
    <col min="10521" max="10521" width="9.28515625" style="239" customWidth="1"/>
    <col min="10522" max="10522" width="11.28515625" style="239" customWidth="1"/>
    <col min="10523" max="10756" width="9.140625" style="239"/>
    <col min="10757" max="10757" width="1.7109375" style="239" customWidth="1"/>
    <col min="10758" max="10758" width="4.85546875" style="239" customWidth="1"/>
    <col min="10759" max="10759" width="13.7109375" style="239" customWidth="1"/>
    <col min="10760" max="10760" width="40.42578125" style="239" customWidth="1"/>
    <col min="10761" max="10761" width="5.7109375" style="239" customWidth="1"/>
    <col min="10762" max="10762" width="12.5703125" style="239" customWidth="1"/>
    <col min="10763" max="10763" width="10.42578125" style="239" customWidth="1"/>
    <col min="10764" max="10764" width="11.7109375" style="239" customWidth="1"/>
    <col min="10765" max="10766" width="9.28515625" style="239" bestFit="1" customWidth="1"/>
    <col min="10767" max="10767" width="8.140625" style="239" customWidth="1"/>
    <col min="10768" max="10768" width="8" style="239" customWidth="1"/>
    <col min="10769" max="10770" width="12" style="239" customWidth="1"/>
    <col min="10771" max="10771" width="7.7109375" style="239" customWidth="1"/>
    <col min="10772" max="10772" width="11.28515625" style="239" bestFit="1" customWidth="1"/>
    <col min="10773" max="10776" width="9.28515625" style="239" bestFit="1" customWidth="1"/>
    <col min="10777" max="10777" width="9.28515625" style="239" customWidth="1"/>
    <col min="10778" max="10778" width="11.28515625" style="239" customWidth="1"/>
    <col min="10779" max="11012" width="9.140625" style="239"/>
    <col min="11013" max="11013" width="1.7109375" style="239" customWidth="1"/>
    <col min="11014" max="11014" width="4.85546875" style="239" customWidth="1"/>
    <col min="11015" max="11015" width="13.7109375" style="239" customWidth="1"/>
    <col min="11016" max="11016" width="40.42578125" style="239" customWidth="1"/>
    <col min="11017" max="11017" width="5.7109375" style="239" customWidth="1"/>
    <col min="11018" max="11018" width="12.5703125" style="239" customWidth="1"/>
    <col min="11019" max="11019" width="10.42578125" style="239" customWidth="1"/>
    <col min="11020" max="11020" width="11.7109375" style="239" customWidth="1"/>
    <col min="11021" max="11022" width="9.28515625" style="239" bestFit="1" customWidth="1"/>
    <col min="11023" max="11023" width="8.140625" style="239" customWidth="1"/>
    <col min="11024" max="11024" width="8" style="239" customWidth="1"/>
    <col min="11025" max="11026" width="12" style="239" customWidth="1"/>
    <col min="11027" max="11027" width="7.7109375" style="239" customWidth="1"/>
    <col min="11028" max="11028" width="11.28515625" style="239" bestFit="1" customWidth="1"/>
    <col min="11029" max="11032" width="9.28515625" style="239" bestFit="1" customWidth="1"/>
    <col min="11033" max="11033" width="9.28515625" style="239" customWidth="1"/>
    <col min="11034" max="11034" width="11.28515625" style="239" customWidth="1"/>
    <col min="11035" max="11268" width="9.140625" style="239"/>
    <col min="11269" max="11269" width="1.7109375" style="239" customWidth="1"/>
    <col min="11270" max="11270" width="4.85546875" style="239" customWidth="1"/>
    <col min="11271" max="11271" width="13.7109375" style="239" customWidth="1"/>
    <col min="11272" max="11272" width="40.42578125" style="239" customWidth="1"/>
    <col min="11273" max="11273" width="5.7109375" style="239" customWidth="1"/>
    <col min="11274" max="11274" width="12.5703125" style="239" customWidth="1"/>
    <col min="11275" max="11275" width="10.42578125" style="239" customWidth="1"/>
    <col min="11276" max="11276" width="11.7109375" style="239" customWidth="1"/>
    <col min="11277" max="11278" width="9.28515625" style="239" bestFit="1" customWidth="1"/>
    <col min="11279" max="11279" width="8.140625" style="239" customWidth="1"/>
    <col min="11280" max="11280" width="8" style="239" customWidth="1"/>
    <col min="11281" max="11282" width="12" style="239" customWidth="1"/>
    <col min="11283" max="11283" width="7.7109375" style="239" customWidth="1"/>
    <col min="11284" max="11284" width="11.28515625" style="239" bestFit="1" customWidth="1"/>
    <col min="11285" max="11288" width="9.28515625" style="239" bestFit="1" customWidth="1"/>
    <col min="11289" max="11289" width="9.28515625" style="239" customWidth="1"/>
    <col min="11290" max="11290" width="11.28515625" style="239" customWidth="1"/>
    <col min="11291" max="11524" width="9.140625" style="239"/>
    <col min="11525" max="11525" width="1.7109375" style="239" customWidth="1"/>
    <col min="11526" max="11526" width="4.85546875" style="239" customWidth="1"/>
    <col min="11527" max="11527" width="13.7109375" style="239" customWidth="1"/>
    <col min="11528" max="11528" width="40.42578125" style="239" customWidth="1"/>
    <col min="11529" max="11529" width="5.7109375" style="239" customWidth="1"/>
    <col min="11530" max="11530" width="12.5703125" style="239" customWidth="1"/>
    <col min="11531" max="11531" width="10.42578125" style="239" customWidth="1"/>
    <col min="11532" max="11532" width="11.7109375" style="239" customWidth="1"/>
    <col min="11533" max="11534" width="9.28515625" style="239" bestFit="1" customWidth="1"/>
    <col min="11535" max="11535" width="8.140625" style="239" customWidth="1"/>
    <col min="11536" max="11536" width="8" style="239" customWidth="1"/>
    <col min="11537" max="11538" width="12" style="239" customWidth="1"/>
    <col min="11539" max="11539" width="7.7109375" style="239" customWidth="1"/>
    <col min="11540" max="11540" width="11.28515625" style="239" bestFit="1" customWidth="1"/>
    <col min="11541" max="11544" width="9.28515625" style="239" bestFit="1" customWidth="1"/>
    <col min="11545" max="11545" width="9.28515625" style="239" customWidth="1"/>
    <col min="11546" max="11546" width="11.28515625" style="239" customWidth="1"/>
    <col min="11547" max="11780" width="9.140625" style="239"/>
    <col min="11781" max="11781" width="1.7109375" style="239" customWidth="1"/>
    <col min="11782" max="11782" width="4.85546875" style="239" customWidth="1"/>
    <col min="11783" max="11783" width="13.7109375" style="239" customWidth="1"/>
    <col min="11784" max="11784" width="40.42578125" style="239" customWidth="1"/>
    <col min="11785" max="11785" width="5.7109375" style="239" customWidth="1"/>
    <col min="11786" max="11786" width="12.5703125" style="239" customWidth="1"/>
    <col min="11787" max="11787" width="10.42578125" style="239" customWidth="1"/>
    <col min="11788" max="11788" width="11.7109375" style="239" customWidth="1"/>
    <col min="11789" max="11790" width="9.28515625" style="239" bestFit="1" customWidth="1"/>
    <col min="11791" max="11791" width="8.140625" style="239" customWidth="1"/>
    <col min="11792" max="11792" width="8" style="239" customWidth="1"/>
    <col min="11793" max="11794" width="12" style="239" customWidth="1"/>
    <col min="11795" max="11795" width="7.7109375" style="239" customWidth="1"/>
    <col min="11796" max="11796" width="11.28515625" style="239" bestFit="1" customWidth="1"/>
    <col min="11797" max="11800" width="9.28515625" style="239" bestFit="1" customWidth="1"/>
    <col min="11801" max="11801" width="9.28515625" style="239" customWidth="1"/>
    <col min="11802" max="11802" width="11.28515625" style="239" customWidth="1"/>
    <col min="11803" max="12036" width="9.140625" style="239"/>
    <col min="12037" max="12037" width="1.7109375" style="239" customWidth="1"/>
    <col min="12038" max="12038" width="4.85546875" style="239" customWidth="1"/>
    <col min="12039" max="12039" width="13.7109375" style="239" customWidth="1"/>
    <col min="12040" max="12040" width="40.42578125" style="239" customWidth="1"/>
    <col min="12041" max="12041" width="5.7109375" style="239" customWidth="1"/>
    <col min="12042" max="12042" width="12.5703125" style="239" customWidth="1"/>
    <col min="12043" max="12043" width="10.42578125" style="239" customWidth="1"/>
    <col min="12044" max="12044" width="11.7109375" style="239" customWidth="1"/>
    <col min="12045" max="12046" width="9.28515625" style="239" bestFit="1" customWidth="1"/>
    <col min="12047" max="12047" width="8.140625" style="239" customWidth="1"/>
    <col min="12048" max="12048" width="8" style="239" customWidth="1"/>
    <col min="12049" max="12050" width="12" style="239" customWidth="1"/>
    <col min="12051" max="12051" width="7.7109375" style="239" customWidth="1"/>
    <col min="12052" max="12052" width="11.28515625" style="239" bestFit="1" customWidth="1"/>
    <col min="12053" max="12056" width="9.28515625" style="239" bestFit="1" customWidth="1"/>
    <col min="12057" max="12057" width="9.28515625" style="239" customWidth="1"/>
    <col min="12058" max="12058" width="11.28515625" style="239" customWidth="1"/>
    <col min="12059" max="12292" width="9.140625" style="239"/>
    <col min="12293" max="12293" width="1.7109375" style="239" customWidth="1"/>
    <col min="12294" max="12294" width="4.85546875" style="239" customWidth="1"/>
    <col min="12295" max="12295" width="13.7109375" style="239" customWidth="1"/>
    <col min="12296" max="12296" width="40.42578125" style="239" customWidth="1"/>
    <col min="12297" max="12297" width="5.7109375" style="239" customWidth="1"/>
    <col min="12298" max="12298" width="12.5703125" style="239" customWidth="1"/>
    <col min="12299" max="12299" width="10.42578125" style="239" customWidth="1"/>
    <col min="12300" max="12300" width="11.7109375" style="239" customWidth="1"/>
    <col min="12301" max="12302" width="9.28515625" style="239" bestFit="1" customWidth="1"/>
    <col min="12303" max="12303" width="8.140625" style="239" customWidth="1"/>
    <col min="12304" max="12304" width="8" style="239" customWidth="1"/>
    <col min="12305" max="12306" width="12" style="239" customWidth="1"/>
    <col min="12307" max="12307" width="7.7109375" style="239" customWidth="1"/>
    <col min="12308" max="12308" width="11.28515625" style="239" bestFit="1" customWidth="1"/>
    <col min="12309" max="12312" width="9.28515625" style="239" bestFit="1" customWidth="1"/>
    <col min="12313" max="12313" width="9.28515625" style="239" customWidth="1"/>
    <col min="12314" max="12314" width="11.28515625" style="239" customWidth="1"/>
    <col min="12315" max="12548" width="9.140625" style="239"/>
    <col min="12549" max="12549" width="1.7109375" style="239" customWidth="1"/>
    <col min="12550" max="12550" width="4.85546875" style="239" customWidth="1"/>
    <col min="12551" max="12551" width="13.7109375" style="239" customWidth="1"/>
    <col min="12552" max="12552" width="40.42578125" style="239" customWidth="1"/>
    <col min="12553" max="12553" width="5.7109375" style="239" customWidth="1"/>
    <col min="12554" max="12554" width="12.5703125" style="239" customWidth="1"/>
    <col min="12555" max="12555" width="10.42578125" style="239" customWidth="1"/>
    <col min="12556" max="12556" width="11.7109375" style="239" customWidth="1"/>
    <col min="12557" max="12558" width="9.28515625" style="239" bestFit="1" customWidth="1"/>
    <col min="12559" max="12559" width="8.140625" style="239" customWidth="1"/>
    <col min="12560" max="12560" width="8" style="239" customWidth="1"/>
    <col min="12561" max="12562" width="12" style="239" customWidth="1"/>
    <col min="12563" max="12563" width="7.7109375" style="239" customWidth="1"/>
    <col min="12564" max="12564" width="11.28515625" style="239" bestFit="1" customWidth="1"/>
    <col min="12565" max="12568" width="9.28515625" style="239" bestFit="1" customWidth="1"/>
    <col min="12569" max="12569" width="9.28515625" style="239" customWidth="1"/>
    <col min="12570" max="12570" width="11.28515625" style="239" customWidth="1"/>
    <col min="12571" max="12804" width="9.140625" style="239"/>
    <col min="12805" max="12805" width="1.7109375" style="239" customWidth="1"/>
    <col min="12806" max="12806" width="4.85546875" style="239" customWidth="1"/>
    <col min="12807" max="12807" width="13.7109375" style="239" customWidth="1"/>
    <col min="12808" max="12808" width="40.42578125" style="239" customWidth="1"/>
    <col min="12809" max="12809" width="5.7109375" style="239" customWidth="1"/>
    <col min="12810" max="12810" width="12.5703125" style="239" customWidth="1"/>
    <col min="12811" max="12811" width="10.42578125" style="239" customWidth="1"/>
    <col min="12812" max="12812" width="11.7109375" style="239" customWidth="1"/>
    <col min="12813" max="12814" width="9.28515625" style="239" bestFit="1" customWidth="1"/>
    <col min="12815" max="12815" width="8.140625" style="239" customWidth="1"/>
    <col min="12816" max="12816" width="8" style="239" customWidth="1"/>
    <col min="12817" max="12818" width="12" style="239" customWidth="1"/>
    <col min="12819" max="12819" width="7.7109375" style="239" customWidth="1"/>
    <col min="12820" max="12820" width="11.28515625" style="239" bestFit="1" customWidth="1"/>
    <col min="12821" max="12824" width="9.28515625" style="239" bestFit="1" customWidth="1"/>
    <col min="12825" max="12825" width="9.28515625" style="239" customWidth="1"/>
    <col min="12826" max="12826" width="11.28515625" style="239" customWidth="1"/>
    <col min="12827" max="13060" width="9.140625" style="239"/>
    <col min="13061" max="13061" width="1.7109375" style="239" customWidth="1"/>
    <col min="13062" max="13062" width="4.85546875" style="239" customWidth="1"/>
    <col min="13063" max="13063" width="13.7109375" style="239" customWidth="1"/>
    <col min="13064" max="13064" width="40.42578125" style="239" customWidth="1"/>
    <col min="13065" max="13065" width="5.7109375" style="239" customWidth="1"/>
    <col min="13066" max="13066" width="12.5703125" style="239" customWidth="1"/>
    <col min="13067" max="13067" width="10.42578125" style="239" customWidth="1"/>
    <col min="13068" max="13068" width="11.7109375" style="239" customWidth="1"/>
    <col min="13069" max="13070" width="9.28515625" style="239" bestFit="1" customWidth="1"/>
    <col min="13071" max="13071" width="8.140625" style="239" customWidth="1"/>
    <col min="13072" max="13072" width="8" style="239" customWidth="1"/>
    <col min="13073" max="13074" width="12" style="239" customWidth="1"/>
    <col min="13075" max="13075" width="7.7109375" style="239" customWidth="1"/>
    <col min="13076" max="13076" width="11.28515625" style="239" bestFit="1" customWidth="1"/>
    <col min="13077" max="13080" width="9.28515625" style="239" bestFit="1" customWidth="1"/>
    <col min="13081" max="13081" width="9.28515625" style="239" customWidth="1"/>
    <col min="13082" max="13082" width="11.28515625" style="239" customWidth="1"/>
    <col min="13083" max="13316" width="9.140625" style="239"/>
    <col min="13317" max="13317" width="1.7109375" style="239" customWidth="1"/>
    <col min="13318" max="13318" width="4.85546875" style="239" customWidth="1"/>
    <col min="13319" max="13319" width="13.7109375" style="239" customWidth="1"/>
    <col min="13320" max="13320" width="40.42578125" style="239" customWidth="1"/>
    <col min="13321" max="13321" width="5.7109375" style="239" customWidth="1"/>
    <col min="13322" max="13322" width="12.5703125" style="239" customWidth="1"/>
    <col min="13323" max="13323" width="10.42578125" style="239" customWidth="1"/>
    <col min="13324" max="13324" width="11.7109375" style="239" customWidth="1"/>
    <col min="13325" max="13326" width="9.28515625" style="239" bestFit="1" customWidth="1"/>
    <col min="13327" max="13327" width="8.140625" style="239" customWidth="1"/>
    <col min="13328" max="13328" width="8" style="239" customWidth="1"/>
    <col min="13329" max="13330" width="12" style="239" customWidth="1"/>
    <col min="13331" max="13331" width="7.7109375" style="239" customWidth="1"/>
    <col min="13332" max="13332" width="11.28515625" style="239" bestFit="1" customWidth="1"/>
    <col min="13333" max="13336" width="9.28515625" style="239" bestFit="1" customWidth="1"/>
    <col min="13337" max="13337" width="9.28515625" style="239" customWidth="1"/>
    <col min="13338" max="13338" width="11.28515625" style="239" customWidth="1"/>
    <col min="13339" max="13572" width="9.140625" style="239"/>
    <col min="13573" max="13573" width="1.7109375" style="239" customWidth="1"/>
    <col min="13574" max="13574" width="4.85546875" style="239" customWidth="1"/>
    <col min="13575" max="13575" width="13.7109375" style="239" customWidth="1"/>
    <col min="13576" max="13576" width="40.42578125" style="239" customWidth="1"/>
    <col min="13577" max="13577" width="5.7109375" style="239" customWidth="1"/>
    <col min="13578" max="13578" width="12.5703125" style="239" customWidth="1"/>
    <col min="13579" max="13579" width="10.42578125" style="239" customWidth="1"/>
    <col min="13580" max="13580" width="11.7109375" style="239" customWidth="1"/>
    <col min="13581" max="13582" width="9.28515625" style="239" bestFit="1" customWidth="1"/>
    <col min="13583" max="13583" width="8.140625" style="239" customWidth="1"/>
    <col min="13584" max="13584" width="8" style="239" customWidth="1"/>
    <col min="13585" max="13586" width="12" style="239" customWidth="1"/>
    <col min="13587" max="13587" width="7.7109375" style="239" customWidth="1"/>
    <col min="13588" max="13588" width="11.28515625" style="239" bestFit="1" customWidth="1"/>
    <col min="13589" max="13592" width="9.28515625" style="239" bestFit="1" customWidth="1"/>
    <col min="13593" max="13593" width="9.28515625" style="239" customWidth="1"/>
    <col min="13594" max="13594" width="11.28515625" style="239" customWidth="1"/>
    <col min="13595" max="13828" width="9.140625" style="239"/>
    <col min="13829" max="13829" width="1.7109375" style="239" customWidth="1"/>
    <col min="13830" max="13830" width="4.85546875" style="239" customWidth="1"/>
    <col min="13831" max="13831" width="13.7109375" style="239" customWidth="1"/>
    <col min="13832" max="13832" width="40.42578125" style="239" customWidth="1"/>
    <col min="13833" max="13833" width="5.7109375" style="239" customWidth="1"/>
    <col min="13834" max="13834" width="12.5703125" style="239" customWidth="1"/>
    <col min="13835" max="13835" width="10.42578125" style="239" customWidth="1"/>
    <col min="13836" max="13836" width="11.7109375" style="239" customWidth="1"/>
    <col min="13837" max="13838" width="9.28515625" style="239" bestFit="1" customWidth="1"/>
    <col min="13839" max="13839" width="8.140625" style="239" customWidth="1"/>
    <col min="13840" max="13840" width="8" style="239" customWidth="1"/>
    <col min="13841" max="13842" width="12" style="239" customWidth="1"/>
    <col min="13843" max="13843" width="7.7109375" style="239" customWidth="1"/>
    <col min="13844" max="13844" width="11.28515625" style="239" bestFit="1" customWidth="1"/>
    <col min="13845" max="13848" width="9.28515625" style="239" bestFit="1" customWidth="1"/>
    <col min="13849" max="13849" width="9.28515625" style="239" customWidth="1"/>
    <col min="13850" max="13850" width="11.28515625" style="239" customWidth="1"/>
    <col min="13851" max="14084" width="9.140625" style="239"/>
    <col min="14085" max="14085" width="1.7109375" style="239" customWidth="1"/>
    <col min="14086" max="14086" width="4.85546875" style="239" customWidth="1"/>
    <col min="14087" max="14087" width="13.7109375" style="239" customWidth="1"/>
    <col min="14088" max="14088" width="40.42578125" style="239" customWidth="1"/>
    <col min="14089" max="14089" width="5.7109375" style="239" customWidth="1"/>
    <col min="14090" max="14090" width="12.5703125" style="239" customWidth="1"/>
    <col min="14091" max="14091" width="10.42578125" style="239" customWidth="1"/>
    <col min="14092" max="14092" width="11.7109375" style="239" customWidth="1"/>
    <col min="14093" max="14094" width="9.28515625" style="239" bestFit="1" customWidth="1"/>
    <col min="14095" max="14095" width="8.140625" style="239" customWidth="1"/>
    <col min="14096" max="14096" width="8" style="239" customWidth="1"/>
    <col min="14097" max="14098" width="12" style="239" customWidth="1"/>
    <col min="14099" max="14099" width="7.7109375" style="239" customWidth="1"/>
    <col min="14100" max="14100" width="11.28515625" style="239" bestFit="1" customWidth="1"/>
    <col min="14101" max="14104" width="9.28515625" style="239" bestFit="1" customWidth="1"/>
    <col min="14105" max="14105" width="9.28515625" style="239" customWidth="1"/>
    <col min="14106" max="14106" width="11.28515625" style="239" customWidth="1"/>
    <col min="14107" max="14340" width="9.140625" style="239"/>
    <col min="14341" max="14341" width="1.7109375" style="239" customWidth="1"/>
    <col min="14342" max="14342" width="4.85546875" style="239" customWidth="1"/>
    <col min="14343" max="14343" width="13.7109375" style="239" customWidth="1"/>
    <col min="14344" max="14344" width="40.42578125" style="239" customWidth="1"/>
    <col min="14345" max="14345" width="5.7109375" style="239" customWidth="1"/>
    <col min="14346" max="14346" width="12.5703125" style="239" customWidth="1"/>
    <col min="14347" max="14347" width="10.42578125" style="239" customWidth="1"/>
    <col min="14348" max="14348" width="11.7109375" style="239" customWidth="1"/>
    <col min="14349" max="14350" width="9.28515625" style="239" bestFit="1" customWidth="1"/>
    <col min="14351" max="14351" width="8.140625" style="239" customWidth="1"/>
    <col min="14352" max="14352" width="8" style="239" customWidth="1"/>
    <col min="14353" max="14354" width="12" style="239" customWidth="1"/>
    <col min="14355" max="14355" width="7.7109375" style="239" customWidth="1"/>
    <col min="14356" max="14356" width="11.28515625" style="239" bestFit="1" customWidth="1"/>
    <col min="14357" max="14360" width="9.28515625" style="239" bestFit="1" customWidth="1"/>
    <col min="14361" max="14361" width="9.28515625" style="239" customWidth="1"/>
    <col min="14362" max="14362" width="11.28515625" style="239" customWidth="1"/>
    <col min="14363" max="14596" width="9.140625" style="239"/>
    <col min="14597" max="14597" width="1.7109375" style="239" customWidth="1"/>
    <col min="14598" max="14598" width="4.85546875" style="239" customWidth="1"/>
    <col min="14599" max="14599" width="13.7109375" style="239" customWidth="1"/>
    <col min="14600" max="14600" width="40.42578125" style="239" customWidth="1"/>
    <col min="14601" max="14601" width="5.7109375" style="239" customWidth="1"/>
    <col min="14602" max="14602" width="12.5703125" style="239" customWidth="1"/>
    <col min="14603" max="14603" width="10.42578125" style="239" customWidth="1"/>
    <col min="14604" max="14604" width="11.7109375" style="239" customWidth="1"/>
    <col min="14605" max="14606" width="9.28515625" style="239" bestFit="1" customWidth="1"/>
    <col min="14607" max="14607" width="8.140625" style="239" customWidth="1"/>
    <col min="14608" max="14608" width="8" style="239" customWidth="1"/>
    <col min="14609" max="14610" width="12" style="239" customWidth="1"/>
    <col min="14611" max="14611" width="7.7109375" style="239" customWidth="1"/>
    <col min="14612" max="14612" width="11.28515625" style="239" bestFit="1" customWidth="1"/>
    <col min="14613" max="14616" width="9.28515625" style="239" bestFit="1" customWidth="1"/>
    <col min="14617" max="14617" width="9.28515625" style="239" customWidth="1"/>
    <col min="14618" max="14618" width="11.28515625" style="239" customWidth="1"/>
    <col min="14619" max="14852" width="9.140625" style="239"/>
    <col min="14853" max="14853" width="1.7109375" style="239" customWidth="1"/>
    <col min="14854" max="14854" width="4.85546875" style="239" customWidth="1"/>
    <col min="14855" max="14855" width="13.7109375" style="239" customWidth="1"/>
    <col min="14856" max="14856" width="40.42578125" style="239" customWidth="1"/>
    <col min="14857" max="14857" width="5.7109375" style="239" customWidth="1"/>
    <col min="14858" max="14858" width="12.5703125" style="239" customWidth="1"/>
    <col min="14859" max="14859" width="10.42578125" style="239" customWidth="1"/>
    <col min="14860" max="14860" width="11.7109375" style="239" customWidth="1"/>
    <col min="14861" max="14862" width="9.28515625" style="239" bestFit="1" customWidth="1"/>
    <col min="14863" max="14863" width="8.140625" style="239" customWidth="1"/>
    <col min="14864" max="14864" width="8" style="239" customWidth="1"/>
    <col min="14865" max="14866" width="12" style="239" customWidth="1"/>
    <col min="14867" max="14867" width="7.7109375" style="239" customWidth="1"/>
    <col min="14868" max="14868" width="11.28515625" style="239" bestFit="1" customWidth="1"/>
    <col min="14869" max="14872" width="9.28515625" style="239" bestFit="1" customWidth="1"/>
    <col min="14873" max="14873" width="9.28515625" style="239" customWidth="1"/>
    <col min="14874" max="14874" width="11.28515625" style="239" customWidth="1"/>
    <col min="14875" max="15108" width="9.140625" style="239"/>
    <col min="15109" max="15109" width="1.7109375" style="239" customWidth="1"/>
    <col min="15110" max="15110" width="4.85546875" style="239" customWidth="1"/>
    <col min="15111" max="15111" width="13.7109375" style="239" customWidth="1"/>
    <col min="15112" max="15112" width="40.42578125" style="239" customWidth="1"/>
    <col min="15113" max="15113" width="5.7109375" style="239" customWidth="1"/>
    <col min="15114" max="15114" width="12.5703125" style="239" customWidth="1"/>
    <col min="15115" max="15115" width="10.42578125" style="239" customWidth="1"/>
    <col min="15116" max="15116" width="11.7109375" style="239" customWidth="1"/>
    <col min="15117" max="15118" width="9.28515625" style="239" bestFit="1" customWidth="1"/>
    <col min="15119" max="15119" width="8.140625" style="239" customWidth="1"/>
    <col min="15120" max="15120" width="8" style="239" customWidth="1"/>
    <col min="15121" max="15122" width="12" style="239" customWidth="1"/>
    <col min="15123" max="15123" width="7.7109375" style="239" customWidth="1"/>
    <col min="15124" max="15124" width="11.28515625" style="239" bestFit="1" customWidth="1"/>
    <col min="15125" max="15128" width="9.28515625" style="239" bestFit="1" customWidth="1"/>
    <col min="15129" max="15129" width="9.28515625" style="239" customWidth="1"/>
    <col min="15130" max="15130" width="11.28515625" style="239" customWidth="1"/>
    <col min="15131" max="15364" width="9.140625" style="239"/>
    <col min="15365" max="15365" width="1.7109375" style="239" customWidth="1"/>
    <col min="15366" max="15366" width="4.85546875" style="239" customWidth="1"/>
    <col min="15367" max="15367" width="13.7109375" style="239" customWidth="1"/>
    <col min="15368" max="15368" width="40.42578125" style="239" customWidth="1"/>
    <col min="15369" max="15369" width="5.7109375" style="239" customWidth="1"/>
    <col min="15370" max="15370" width="12.5703125" style="239" customWidth="1"/>
    <col min="15371" max="15371" width="10.42578125" style="239" customWidth="1"/>
    <col min="15372" max="15372" width="11.7109375" style="239" customWidth="1"/>
    <col min="15373" max="15374" width="9.28515625" style="239" bestFit="1" customWidth="1"/>
    <col min="15375" max="15375" width="8.140625" style="239" customWidth="1"/>
    <col min="15376" max="15376" width="8" style="239" customWidth="1"/>
    <col min="15377" max="15378" width="12" style="239" customWidth="1"/>
    <col min="15379" max="15379" width="7.7109375" style="239" customWidth="1"/>
    <col min="15380" max="15380" width="11.28515625" style="239" bestFit="1" customWidth="1"/>
    <col min="15381" max="15384" width="9.28515625" style="239" bestFit="1" customWidth="1"/>
    <col min="15385" max="15385" width="9.28515625" style="239" customWidth="1"/>
    <col min="15386" max="15386" width="11.28515625" style="239" customWidth="1"/>
    <col min="15387" max="15620" width="9.140625" style="239"/>
    <col min="15621" max="15621" width="1.7109375" style="239" customWidth="1"/>
    <col min="15622" max="15622" width="4.85546875" style="239" customWidth="1"/>
    <col min="15623" max="15623" width="13.7109375" style="239" customWidth="1"/>
    <col min="15624" max="15624" width="40.42578125" style="239" customWidth="1"/>
    <col min="15625" max="15625" width="5.7109375" style="239" customWidth="1"/>
    <col min="15626" max="15626" width="12.5703125" style="239" customWidth="1"/>
    <col min="15627" max="15627" width="10.42578125" style="239" customWidth="1"/>
    <col min="15628" max="15628" width="11.7109375" style="239" customWidth="1"/>
    <col min="15629" max="15630" width="9.28515625" style="239" bestFit="1" customWidth="1"/>
    <col min="15631" max="15631" width="8.140625" style="239" customWidth="1"/>
    <col min="15632" max="15632" width="8" style="239" customWidth="1"/>
    <col min="15633" max="15634" width="12" style="239" customWidth="1"/>
    <col min="15635" max="15635" width="7.7109375" style="239" customWidth="1"/>
    <col min="15636" max="15636" width="11.28515625" style="239" bestFit="1" customWidth="1"/>
    <col min="15637" max="15640" width="9.28515625" style="239" bestFit="1" customWidth="1"/>
    <col min="15641" max="15641" width="9.28515625" style="239" customWidth="1"/>
    <col min="15642" max="15642" width="11.28515625" style="239" customWidth="1"/>
    <col min="15643" max="15876" width="9.140625" style="239"/>
    <col min="15877" max="15877" width="1.7109375" style="239" customWidth="1"/>
    <col min="15878" max="15878" width="4.85546875" style="239" customWidth="1"/>
    <col min="15879" max="15879" width="13.7109375" style="239" customWidth="1"/>
    <col min="15880" max="15880" width="40.42578125" style="239" customWidth="1"/>
    <col min="15881" max="15881" width="5.7109375" style="239" customWidth="1"/>
    <col min="15882" max="15882" width="12.5703125" style="239" customWidth="1"/>
    <col min="15883" max="15883" width="10.42578125" style="239" customWidth="1"/>
    <col min="15884" max="15884" width="11.7109375" style="239" customWidth="1"/>
    <col min="15885" max="15886" width="9.28515625" style="239" bestFit="1" customWidth="1"/>
    <col min="15887" max="15887" width="8.140625" style="239" customWidth="1"/>
    <col min="15888" max="15888" width="8" style="239" customWidth="1"/>
    <col min="15889" max="15890" width="12" style="239" customWidth="1"/>
    <col min="15891" max="15891" width="7.7109375" style="239" customWidth="1"/>
    <col min="15892" max="15892" width="11.28515625" style="239" bestFit="1" customWidth="1"/>
    <col min="15893" max="15896" width="9.28515625" style="239" bestFit="1" customWidth="1"/>
    <col min="15897" max="15897" width="9.28515625" style="239" customWidth="1"/>
    <col min="15898" max="15898" width="11.28515625" style="239" customWidth="1"/>
    <col min="15899" max="16132" width="9.140625" style="239"/>
    <col min="16133" max="16133" width="1.7109375" style="239" customWidth="1"/>
    <col min="16134" max="16134" width="4.85546875" style="239" customWidth="1"/>
    <col min="16135" max="16135" width="13.7109375" style="239" customWidth="1"/>
    <col min="16136" max="16136" width="40.42578125" style="239" customWidth="1"/>
    <col min="16137" max="16137" width="5.7109375" style="239" customWidth="1"/>
    <col min="16138" max="16138" width="12.5703125" style="239" customWidth="1"/>
    <col min="16139" max="16139" width="10.42578125" style="239" customWidth="1"/>
    <col min="16140" max="16140" width="11.7109375" style="239" customWidth="1"/>
    <col min="16141" max="16142" width="9.28515625" style="239" bestFit="1" customWidth="1"/>
    <col min="16143" max="16143" width="8.140625" style="239" customWidth="1"/>
    <col min="16144" max="16144" width="8" style="239" customWidth="1"/>
    <col min="16145" max="16146" width="12" style="239" customWidth="1"/>
    <col min="16147" max="16147" width="7.7109375" style="239" customWidth="1"/>
    <col min="16148" max="16148" width="11.28515625" style="239" bestFit="1" customWidth="1"/>
    <col min="16149" max="16152" width="9.28515625" style="239" bestFit="1" customWidth="1"/>
    <col min="16153" max="16153" width="9.28515625" style="239" customWidth="1"/>
    <col min="16154" max="16154" width="11.28515625" style="239" customWidth="1"/>
    <col min="16155" max="16384" width="9.140625" style="239"/>
  </cols>
  <sheetData>
    <row r="1" spans="2:29">
      <c r="C1" s="239" t="s">
        <v>468</v>
      </c>
      <c r="D1" s="240"/>
      <c r="E1" s="240"/>
      <c r="F1" s="240"/>
    </row>
    <row r="2" spans="2:29" ht="18">
      <c r="D2" s="240"/>
      <c r="E2" s="240"/>
      <c r="F2" s="240"/>
      <c r="H2" s="998" t="s">
        <v>391</v>
      </c>
      <c r="I2" s="998"/>
      <c r="J2" s="998"/>
      <c r="K2" s="998"/>
      <c r="L2" s="998"/>
      <c r="M2" s="998"/>
    </row>
    <row r="3" spans="2:29">
      <c r="H3" s="999" t="s">
        <v>392</v>
      </c>
      <c r="I3" s="999"/>
      <c r="J3" s="999"/>
      <c r="K3" s="999"/>
      <c r="L3" s="999"/>
      <c r="M3" s="999"/>
    </row>
    <row r="6" spans="2:29">
      <c r="B6" s="1000" t="s">
        <v>393</v>
      </c>
      <c r="C6" s="1001"/>
      <c r="D6" s="1002">
        <f>'[5]Página 1'!B10</f>
        <v>0</v>
      </c>
      <c r="E6" s="1002"/>
      <c r="F6" s="241"/>
      <c r="G6" s="241"/>
      <c r="H6" s="241" t="s">
        <v>394</v>
      </c>
      <c r="I6" s="242"/>
      <c r="J6" s="241"/>
      <c r="K6" s="241"/>
      <c r="L6" s="241"/>
      <c r="M6" s="243" t="s">
        <v>395</v>
      </c>
      <c r="N6" s="241"/>
      <c r="O6" s="241"/>
      <c r="P6" s="241"/>
      <c r="Q6" s="241"/>
      <c r="R6" s="241"/>
      <c r="S6" s="241"/>
      <c r="T6" s="241"/>
      <c r="U6" s="241"/>
      <c r="V6" s="244"/>
      <c r="W6" s="1003">
        <f>'[5]Página 1'!I1</f>
        <v>0</v>
      </c>
      <c r="X6" s="1004"/>
      <c r="Y6" s="1004"/>
      <c r="Z6" s="1005"/>
    </row>
    <row r="7" spans="2:29">
      <c r="B7" s="1006" t="s">
        <v>396</v>
      </c>
      <c r="C7" s="1007"/>
      <c r="D7" s="1008">
        <f>'[5]Página 1'!B12</f>
        <v>0</v>
      </c>
      <c r="E7" s="1008"/>
      <c r="F7" s="245"/>
      <c r="G7" s="245"/>
      <c r="H7" s="245" t="s">
        <v>397</v>
      </c>
      <c r="I7" s="246">
        <v>20</v>
      </c>
      <c r="J7" s="245"/>
      <c r="K7" s="245"/>
      <c r="L7" s="245"/>
      <c r="M7" s="245" t="s">
        <v>398</v>
      </c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 t="s">
        <v>457</v>
      </c>
      <c r="Z7" s="247">
        <v>0.2</v>
      </c>
    </row>
    <row r="8" spans="2:29">
      <c r="B8" s="991" t="s">
        <v>399</v>
      </c>
      <c r="C8" s="992"/>
      <c r="D8" s="993">
        <f>'[5]Página 1'!D12:F12</f>
        <v>0</v>
      </c>
      <c r="E8" s="994"/>
      <c r="F8" s="248" t="s">
        <v>184</v>
      </c>
      <c r="G8" s="248">
        <v>100</v>
      </c>
      <c r="H8" s="249" t="s">
        <v>400</v>
      </c>
      <c r="I8" s="250">
        <v>40</v>
      </c>
      <c r="J8" s="249"/>
      <c r="K8" s="249"/>
      <c r="L8" s="249"/>
      <c r="M8" s="251" t="s">
        <v>401</v>
      </c>
      <c r="N8" s="249"/>
      <c r="O8" s="249"/>
      <c r="P8" s="249"/>
      <c r="Q8" s="249"/>
      <c r="R8" s="249"/>
      <c r="S8" s="249"/>
      <c r="T8" s="249"/>
      <c r="U8" s="249"/>
      <c r="V8" s="995">
        <f>'[5]Página 1'!B58</f>
        <v>0</v>
      </c>
      <c r="W8" s="996"/>
      <c r="X8" s="996"/>
      <c r="Y8" s="996"/>
      <c r="Z8" s="997"/>
    </row>
    <row r="9" spans="2:29">
      <c r="B9" s="252"/>
      <c r="C9" s="245"/>
      <c r="D9" s="253"/>
      <c r="E9" s="253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54"/>
    </row>
    <row r="10" spans="2:29">
      <c r="B10" s="255"/>
      <c r="C10" s="256"/>
      <c r="D10" s="257" t="s">
        <v>402</v>
      </c>
      <c r="E10" s="256"/>
      <c r="F10" s="256"/>
      <c r="G10" s="256"/>
      <c r="H10" s="256"/>
      <c r="I10" s="256"/>
      <c r="J10" s="258"/>
      <c r="K10" s="256"/>
      <c r="L10" s="256"/>
      <c r="M10" s="256" t="s">
        <v>403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8"/>
    </row>
    <row r="11" spans="2:29">
      <c r="B11" s="252" t="s">
        <v>182</v>
      </c>
      <c r="C11" s="259" t="s">
        <v>188</v>
      </c>
      <c r="D11" s="260" t="s">
        <v>185</v>
      </c>
      <c r="E11" s="252" t="s">
        <v>404</v>
      </c>
      <c r="F11" s="261" t="s">
        <v>186</v>
      </c>
      <c r="G11" s="261" t="s">
        <v>405</v>
      </c>
      <c r="H11" s="261" t="s">
        <v>406</v>
      </c>
      <c r="I11" s="261" t="s">
        <v>407</v>
      </c>
      <c r="J11" s="261" t="s">
        <v>408</v>
      </c>
      <c r="K11" s="261" t="s">
        <v>409</v>
      </c>
      <c r="L11" s="261" t="s">
        <v>183</v>
      </c>
      <c r="M11" s="261" t="s">
        <v>183</v>
      </c>
      <c r="N11" s="271" t="s">
        <v>460</v>
      </c>
      <c r="O11" s="271" t="s">
        <v>464</v>
      </c>
      <c r="P11" s="271" t="s">
        <v>458</v>
      </c>
      <c r="Q11" s="332" t="s">
        <v>455</v>
      </c>
      <c r="R11" s="261" t="s">
        <v>461</v>
      </c>
      <c r="S11" s="261" t="s">
        <v>410</v>
      </c>
      <c r="T11" s="261" t="s">
        <v>411</v>
      </c>
      <c r="U11" s="261" t="s">
        <v>183</v>
      </c>
      <c r="V11" s="261" t="s">
        <v>412</v>
      </c>
      <c r="W11" s="261" t="s">
        <v>413</v>
      </c>
      <c r="X11" s="261" t="s">
        <v>410</v>
      </c>
      <c r="Y11" s="261" t="s">
        <v>414</v>
      </c>
      <c r="Z11" s="262" t="s">
        <v>187</v>
      </c>
    </row>
    <row r="12" spans="2:29">
      <c r="B12" s="263"/>
      <c r="C12" s="264"/>
      <c r="D12" s="264"/>
      <c r="E12" s="263"/>
      <c r="F12" s="265" t="s">
        <v>136</v>
      </c>
      <c r="G12" s="265" t="s">
        <v>415</v>
      </c>
      <c r="H12" s="265" t="s">
        <v>415</v>
      </c>
      <c r="I12" s="265" t="s">
        <v>416</v>
      </c>
      <c r="J12" s="265" t="s">
        <v>416</v>
      </c>
      <c r="K12" s="263" t="s">
        <v>417</v>
      </c>
      <c r="L12" s="265" t="s">
        <v>188</v>
      </c>
      <c r="M12" s="265" t="s">
        <v>418</v>
      </c>
      <c r="N12" s="284" t="s">
        <v>463</v>
      </c>
      <c r="O12" s="284" t="s">
        <v>465</v>
      </c>
      <c r="P12" s="284" t="s">
        <v>459</v>
      </c>
      <c r="Q12" s="284" t="s">
        <v>456</v>
      </c>
      <c r="R12" s="265" t="s">
        <v>462</v>
      </c>
      <c r="S12" s="265" t="s">
        <v>419</v>
      </c>
      <c r="T12" s="265" t="s">
        <v>136</v>
      </c>
      <c r="U12" s="265" t="s">
        <v>420</v>
      </c>
      <c r="V12" s="263"/>
      <c r="W12" s="263"/>
      <c r="X12" s="284" t="s">
        <v>466</v>
      </c>
      <c r="Y12" s="263"/>
      <c r="Z12" s="266" t="s">
        <v>136</v>
      </c>
    </row>
    <row r="13" spans="2:29">
      <c r="B13" s="252"/>
      <c r="C13" s="267"/>
      <c r="D13" s="267"/>
      <c r="E13" s="245"/>
      <c r="F13" s="252"/>
      <c r="G13" s="267"/>
      <c r="H13" s="245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68"/>
      <c r="T13" s="252"/>
      <c r="U13" s="252"/>
      <c r="V13" s="252"/>
      <c r="W13" s="252"/>
      <c r="X13" s="269"/>
      <c r="Y13" s="269"/>
      <c r="Z13" s="270"/>
      <c r="AC13" s="345" t="s">
        <v>469</v>
      </c>
    </row>
    <row r="14" spans="2:29">
      <c r="B14" s="271">
        <v>1</v>
      </c>
      <c r="C14" s="272" t="s">
        <v>421</v>
      </c>
      <c r="D14" s="270" t="s">
        <v>422</v>
      </c>
      <c r="E14" s="333">
        <v>2</v>
      </c>
      <c r="F14" s="334">
        <v>300000</v>
      </c>
      <c r="G14" s="335">
        <v>300</v>
      </c>
      <c r="H14" s="335">
        <v>100</v>
      </c>
      <c r="I14" s="335">
        <v>10</v>
      </c>
      <c r="J14" s="335">
        <f>G14/I14</f>
        <v>30</v>
      </c>
      <c r="K14" s="336">
        <v>100</v>
      </c>
      <c r="L14" s="335">
        <v>0.9</v>
      </c>
      <c r="M14" s="334">
        <v>1</v>
      </c>
      <c r="N14" s="334">
        <v>1012.1</v>
      </c>
      <c r="O14" s="334">
        <v>1.2</v>
      </c>
      <c r="P14" s="337">
        <v>11</v>
      </c>
      <c r="Q14" s="337">
        <v>70</v>
      </c>
      <c r="R14" s="337" t="s">
        <v>211</v>
      </c>
      <c r="S14" s="344">
        <f>$Z$7+AC14*(1-$Z$7)</f>
        <v>0.91759999999999997</v>
      </c>
      <c r="T14" s="334">
        <f>(F14*L14)-S14*N14*H14*O14</f>
        <v>158555.64480000001</v>
      </c>
      <c r="U14" s="335">
        <v>1</v>
      </c>
      <c r="V14" s="335">
        <v>1</v>
      </c>
      <c r="W14" s="335">
        <f>IF(J14&lt;$I$7,(J14/$I$7)^0.5,IF(AND(J14&gt;=$I$7, J14&lt;=$I$8),1,(J14/$I$8)^0.5))</f>
        <v>1</v>
      </c>
      <c r="X14" s="335">
        <f>$G$8/K14</f>
        <v>1</v>
      </c>
      <c r="Y14" s="335">
        <v>1</v>
      </c>
      <c r="Z14" s="338">
        <f>T14*M14*U14*V14*W14*X14*Y14/G14</f>
        <v>528.51881600000002</v>
      </c>
      <c r="AA14" s="239">
        <f>FLOOR(P14*100/Q14,2)</f>
        <v>14</v>
      </c>
      <c r="AB14" s="239">
        <f>IF(R14="A",2,IF(R14="B",3,IF(R14="c",4,IF(R14="d",5,IF(R14="e",6,IF(R14="f",7,IF(R14="g",8,IF(R14="h",9,"erro"))))))))</f>
        <v>4</v>
      </c>
      <c r="AC14" s="239">
        <f>VLOOKUP(AA14,'Ross Reidecke'!$A$4:$I$54,AB14)</f>
        <v>0.89700000000000002</v>
      </c>
    </row>
    <row r="15" spans="2:29">
      <c r="B15" s="271"/>
      <c r="C15" s="272" t="s">
        <v>423</v>
      </c>
      <c r="D15" s="279" t="s">
        <v>370</v>
      </c>
      <c r="E15" s="273"/>
      <c r="F15" s="274"/>
      <c r="G15" s="269"/>
      <c r="H15" s="275"/>
      <c r="I15" s="269"/>
      <c r="J15" s="269"/>
      <c r="K15" s="252"/>
      <c r="L15" s="269"/>
      <c r="M15" s="276"/>
      <c r="N15" s="276"/>
      <c r="O15" s="276"/>
      <c r="P15" s="276"/>
      <c r="Q15" s="276"/>
      <c r="R15" s="276"/>
      <c r="S15" s="277"/>
      <c r="T15" s="276"/>
      <c r="U15" s="269"/>
      <c r="V15" s="252"/>
      <c r="W15" s="252"/>
      <c r="X15" s="269"/>
      <c r="Y15" s="269"/>
      <c r="Z15" s="278"/>
    </row>
    <row r="16" spans="2:29">
      <c r="B16" s="271"/>
      <c r="C16" s="272"/>
      <c r="D16" s="279" t="s">
        <v>370</v>
      </c>
      <c r="E16" s="273"/>
      <c r="F16" s="274"/>
      <c r="G16" s="269"/>
      <c r="H16" s="275"/>
      <c r="I16" s="269"/>
      <c r="J16" s="269"/>
      <c r="K16" s="252"/>
      <c r="L16" s="269"/>
      <c r="M16" s="276"/>
      <c r="N16" s="276"/>
      <c r="O16" s="276"/>
      <c r="P16" s="276"/>
      <c r="Q16" s="276"/>
      <c r="R16" s="276"/>
      <c r="S16" s="277"/>
      <c r="T16" s="276"/>
      <c r="U16" s="269"/>
      <c r="V16" s="252"/>
      <c r="W16" s="252"/>
      <c r="X16" s="269"/>
      <c r="Y16" s="269"/>
      <c r="Z16" s="278"/>
    </row>
    <row r="17" spans="2:29">
      <c r="B17" s="271"/>
      <c r="C17" s="272"/>
      <c r="D17" s="272"/>
      <c r="E17" s="273"/>
      <c r="F17" s="274"/>
      <c r="G17" s="269"/>
      <c r="H17" s="275"/>
      <c r="I17" s="269"/>
      <c r="J17" s="269"/>
      <c r="K17" s="252"/>
      <c r="L17" s="269"/>
      <c r="M17" s="276"/>
      <c r="N17" s="276"/>
      <c r="O17" s="276"/>
      <c r="P17" s="276"/>
      <c r="Q17" s="276"/>
      <c r="R17" s="276"/>
      <c r="S17" s="277"/>
      <c r="T17" s="276"/>
      <c r="U17" s="269"/>
      <c r="V17" s="252"/>
      <c r="W17" s="252"/>
      <c r="X17" s="269"/>
      <c r="Y17" s="269"/>
      <c r="Z17" s="278"/>
    </row>
    <row r="18" spans="2:29">
      <c r="B18" s="271">
        <v>2</v>
      </c>
      <c r="C18" s="272"/>
      <c r="D18" s="280" t="s">
        <v>424</v>
      </c>
      <c r="E18" s="273">
        <v>1</v>
      </c>
      <c r="F18" s="274"/>
      <c r="G18" s="275"/>
      <c r="H18" s="275"/>
      <c r="I18" s="269"/>
      <c r="J18" s="269" t="e">
        <f>G18/I18</f>
        <v>#DIV/0!</v>
      </c>
      <c r="K18" s="252">
        <v>100</v>
      </c>
      <c r="L18" s="269">
        <v>0.9</v>
      </c>
      <c r="M18" s="276">
        <v>1</v>
      </c>
      <c r="N18" s="276"/>
      <c r="O18" s="276"/>
      <c r="P18" s="331">
        <v>15</v>
      </c>
      <c r="Q18" s="331">
        <v>70</v>
      </c>
      <c r="R18" s="331" t="s">
        <v>211</v>
      </c>
      <c r="S18" s="344">
        <f>$Z$7+AC18*(1-$Z$7)</f>
        <v>0.88640000000000008</v>
      </c>
      <c r="T18" s="334">
        <f>(F18*L18)-S18*N18*H18*O18</f>
        <v>0</v>
      </c>
      <c r="U18" s="269"/>
      <c r="V18" s="269">
        <f>IF(I18&lt;$I$6,($I$6/I18)^0.25,IF(I18=$K$6,1,($I$6/I18)^0.25))</f>
        <v>1</v>
      </c>
      <c r="W18" s="269" t="e">
        <f>IF(J18&lt;$I$7,(J18/$I$7)^0.5,IF(AND(J18&gt;=$I$7, J18&lt;=$I$8),1,(J18/$I$8)^0.5))</f>
        <v>#DIV/0!</v>
      </c>
      <c r="X18" s="269">
        <f>$G$8/K18</f>
        <v>1</v>
      </c>
      <c r="Y18" s="269">
        <v>1</v>
      </c>
      <c r="Z18" s="338" t="e">
        <f>T18*M18*U18*V18*W18*X18*Y18/G18</f>
        <v>#DIV/0!</v>
      </c>
      <c r="AA18" s="239">
        <f>FLOOR(P18*100/Q18,2)</f>
        <v>20</v>
      </c>
      <c r="AB18" s="239">
        <f>IF(R18="A",2,IF(R18="B",3,IF(R18="c",4,IF(R18="d",5,IF(R18="e",6,IF(R18="f",7,IF(R18="g",8,IF(R18="h",9,"erro"))))))))</f>
        <v>4</v>
      </c>
      <c r="AC18" s="239">
        <f>VLOOKUP(AA18,'Ross Reidecke'!$A$4:$I$54,AB18)</f>
        <v>0.85799999999999998</v>
      </c>
    </row>
    <row r="19" spans="2:29">
      <c r="B19" s="271"/>
      <c r="C19" s="272"/>
      <c r="D19" s="272" t="s">
        <v>425</v>
      </c>
      <c r="E19" s="273"/>
      <c r="F19" s="274"/>
      <c r="G19" s="275"/>
      <c r="H19" s="275"/>
      <c r="I19" s="269"/>
      <c r="J19" s="269"/>
      <c r="K19" s="252"/>
      <c r="L19" s="269"/>
      <c r="M19" s="276"/>
      <c r="N19" s="276"/>
      <c r="O19" s="276"/>
      <c r="P19" s="276"/>
      <c r="Q19" s="276"/>
      <c r="R19" s="276"/>
      <c r="S19" s="277"/>
      <c r="T19" s="276"/>
      <c r="U19" s="269"/>
      <c r="V19" s="252"/>
      <c r="W19" s="252"/>
      <c r="X19" s="269"/>
      <c r="Y19" s="269"/>
      <c r="Z19" s="278"/>
    </row>
    <row r="20" spans="2:29">
      <c r="B20" s="271"/>
      <c r="C20" s="272"/>
      <c r="D20" s="272" t="s">
        <v>426</v>
      </c>
      <c r="E20" s="273"/>
      <c r="F20" s="274"/>
      <c r="G20" s="275"/>
      <c r="H20" s="275"/>
      <c r="I20" s="269"/>
      <c r="J20" s="269"/>
      <c r="K20" s="252"/>
      <c r="L20" s="269"/>
      <c r="M20" s="276"/>
      <c r="N20" s="276"/>
      <c r="O20" s="276"/>
      <c r="P20" s="276"/>
      <c r="Q20" s="276"/>
      <c r="R20" s="276"/>
      <c r="S20" s="277"/>
      <c r="T20" s="276"/>
      <c r="U20" s="269"/>
      <c r="V20" s="252"/>
      <c r="W20" s="252"/>
      <c r="X20" s="269"/>
      <c r="Y20" s="269"/>
      <c r="Z20" s="278"/>
    </row>
    <row r="21" spans="2:29">
      <c r="B21" s="271"/>
      <c r="C21" s="272"/>
      <c r="D21" s="272"/>
      <c r="E21" s="273"/>
      <c r="F21" s="274"/>
      <c r="G21" s="275"/>
      <c r="H21" s="275"/>
      <c r="I21" s="269"/>
      <c r="J21" s="269"/>
      <c r="K21" s="252"/>
      <c r="L21" s="269"/>
      <c r="M21" s="276"/>
      <c r="N21" s="276"/>
      <c r="O21" s="276"/>
      <c r="P21" s="276"/>
      <c r="Q21" s="276"/>
      <c r="R21" s="276"/>
      <c r="S21" s="277"/>
      <c r="T21" s="276"/>
      <c r="U21" s="269"/>
      <c r="V21" s="252"/>
      <c r="W21" s="252"/>
      <c r="X21" s="269"/>
      <c r="Y21" s="269"/>
      <c r="Z21" s="278"/>
    </row>
    <row r="22" spans="2:29">
      <c r="B22" s="271">
        <v>3</v>
      </c>
      <c r="C22" s="272"/>
      <c r="D22" s="280" t="s">
        <v>427</v>
      </c>
      <c r="E22" s="273">
        <v>1</v>
      </c>
      <c r="F22" s="274"/>
      <c r="G22" s="275"/>
      <c r="H22" s="275"/>
      <c r="I22" s="269"/>
      <c r="J22" s="269" t="e">
        <f>G22/I22</f>
        <v>#DIV/0!</v>
      </c>
      <c r="K22" s="252">
        <v>100</v>
      </c>
      <c r="L22" s="269">
        <v>0.9</v>
      </c>
      <c r="M22" s="276">
        <v>1</v>
      </c>
      <c r="N22" s="276"/>
      <c r="O22" s="276"/>
      <c r="P22" s="331">
        <v>10</v>
      </c>
      <c r="Q22" s="331">
        <v>70</v>
      </c>
      <c r="R22" s="331" t="s">
        <v>212</v>
      </c>
      <c r="S22" s="344">
        <f>$Z$7+AC22*(1-$Z$7)</f>
        <v>0.87680000000000002</v>
      </c>
      <c r="T22" s="334">
        <f>(F22*L22)-S22*N22*H22*O22</f>
        <v>0</v>
      </c>
      <c r="U22" s="269"/>
      <c r="V22" s="269">
        <f>IF(I22&lt;$I$6,($I$6/I22)^0.25,IF(I22=$K$6,1,($I$6/I22)^0.25))</f>
        <v>1</v>
      </c>
      <c r="W22" s="269" t="e">
        <f>IF(J22&lt;$I$7,(J22/$I$7)^0.5,IF(AND(J22&gt;=$I$7, J22&lt;=$I$8),1,(J22/$I$8)^0.5))</f>
        <v>#DIV/0!</v>
      </c>
      <c r="X22" s="269">
        <f>$G$8/K22</f>
        <v>1</v>
      </c>
      <c r="Y22" s="269">
        <v>1</v>
      </c>
      <c r="Z22" s="338" t="e">
        <f>T22*M22*U22*V22*W22*X22*Y22/G22</f>
        <v>#DIV/0!</v>
      </c>
      <c r="AA22" s="239">
        <f>FLOOR(P22*100/Q22,2)</f>
        <v>14</v>
      </c>
      <c r="AB22" s="239">
        <f>IF(R22="A",2,IF(R22="B",3,IF(R22="c",4,IF(R22="d",5,IF(R22="e",6,IF(R22="f",7,IF(R22="g",8,IF(R22="h",9,"erro"))))))))</f>
        <v>5</v>
      </c>
      <c r="AC22" s="239">
        <f>VLOOKUP(AA22,'Ross Reidecke'!$A$4:$I$54,AB22)</f>
        <v>0.84599999999999997</v>
      </c>
    </row>
    <row r="23" spans="2:29">
      <c r="B23" s="271"/>
      <c r="C23" s="272"/>
      <c r="D23" s="272" t="s">
        <v>428</v>
      </c>
      <c r="E23" s="273"/>
      <c r="F23" s="274"/>
      <c r="G23" s="275"/>
      <c r="H23" s="275"/>
      <c r="I23" s="269"/>
      <c r="J23" s="269"/>
      <c r="K23" s="252"/>
      <c r="L23" s="269"/>
      <c r="M23" s="276"/>
      <c r="N23" s="276"/>
      <c r="O23" s="276"/>
      <c r="P23" s="276"/>
      <c r="Q23" s="276"/>
      <c r="R23" s="276"/>
      <c r="S23" s="277"/>
      <c r="T23" s="276"/>
      <c r="U23" s="269"/>
      <c r="V23" s="252"/>
      <c r="W23" s="269"/>
      <c r="X23" s="269"/>
      <c r="Y23" s="269"/>
      <c r="Z23" s="278"/>
    </row>
    <row r="24" spans="2:29">
      <c r="B24" s="271"/>
      <c r="C24" s="272"/>
      <c r="D24" s="272" t="s">
        <v>429</v>
      </c>
      <c r="E24" s="273"/>
      <c r="F24" s="274"/>
      <c r="G24" s="275"/>
      <c r="H24" s="275"/>
      <c r="I24" s="269"/>
      <c r="J24" s="269"/>
      <c r="K24" s="252"/>
      <c r="L24" s="269"/>
      <c r="M24" s="276"/>
      <c r="N24" s="276"/>
      <c r="O24" s="276"/>
      <c r="P24" s="276"/>
      <c r="Q24" s="276"/>
      <c r="R24" s="276"/>
      <c r="S24" s="277"/>
      <c r="T24" s="276"/>
      <c r="U24" s="269"/>
      <c r="V24" s="252"/>
      <c r="W24" s="269"/>
      <c r="X24" s="269"/>
      <c r="Y24" s="269"/>
      <c r="Z24" s="278"/>
    </row>
    <row r="25" spans="2:29">
      <c r="B25" s="271"/>
      <c r="C25" s="272"/>
      <c r="D25" s="272"/>
      <c r="E25" s="273"/>
      <c r="F25" s="274"/>
      <c r="G25" s="275"/>
      <c r="H25" s="275"/>
      <c r="I25" s="269"/>
      <c r="J25" s="269"/>
      <c r="K25" s="252"/>
      <c r="L25" s="269"/>
      <c r="M25" s="276"/>
      <c r="N25" s="276"/>
      <c r="O25" s="276"/>
      <c r="P25" s="276"/>
      <c r="Q25" s="276"/>
      <c r="R25" s="276"/>
      <c r="S25" s="277"/>
      <c r="T25" s="276"/>
      <c r="U25" s="269"/>
      <c r="V25" s="252"/>
      <c r="W25" s="269"/>
      <c r="X25" s="269"/>
      <c r="Y25" s="269"/>
      <c r="Z25" s="278"/>
    </row>
    <row r="26" spans="2:29">
      <c r="B26" s="271">
        <v>4</v>
      </c>
      <c r="C26" s="272"/>
      <c r="D26" s="280" t="s">
        <v>430</v>
      </c>
      <c r="E26" s="273">
        <v>1</v>
      </c>
      <c r="F26" s="274"/>
      <c r="G26" s="275"/>
      <c r="H26" s="275"/>
      <c r="I26" s="269"/>
      <c r="J26" s="269" t="e">
        <f>G26/I26</f>
        <v>#DIV/0!</v>
      </c>
      <c r="K26" s="252">
        <v>100</v>
      </c>
      <c r="L26" s="269">
        <v>0.9</v>
      </c>
      <c r="M26" s="276">
        <v>1</v>
      </c>
      <c r="N26" s="276"/>
      <c r="O26" s="276"/>
      <c r="P26" s="331">
        <v>10</v>
      </c>
      <c r="Q26" s="331">
        <v>70</v>
      </c>
      <c r="R26" s="331" t="s">
        <v>212</v>
      </c>
      <c r="S26" s="344">
        <f>$Z$7+AC26*(1-$Z$7)</f>
        <v>0.87680000000000002</v>
      </c>
      <c r="T26" s="334">
        <f>(F26*L26)-S26*N26*H26*O26</f>
        <v>0</v>
      </c>
      <c r="U26" s="269"/>
      <c r="V26" s="269">
        <f>IF(I26&lt;$I$6,($I$6/I26)^0.25,IF(I26=$K$6,1,($I$6/I26)^0.25))</f>
        <v>1</v>
      </c>
      <c r="W26" s="269" t="e">
        <f>IF(J26&lt;$I$7,(J26/$I$7)^0.5,IF(AND(J26&gt;=$I$7, J26&lt;=$I$8),1,(J26/$I$8)^0.5))</f>
        <v>#DIV/0!</v>
      </c>
      <c r="X26" s="269">
        <f>$G$8/K26</f>
        <v>1</v>
      </c>
      <c r="Y26" s="269">
        <v>1</v>
      </c>
      <c r="Z26" s="338" t="e">
        <f>T26*M26*U26*V26*W26*X26*Y26/G26</f>
        <v>#DIV/0!</v>
      </c>
      <c r="AA26" s="239">
        <f>FLOOR(P26*100/Q26,2)</f>
        <v>14</v>
      </c>
      <c r="AB26" s="239">
        <f>IF(R26="A",2,IF(R26="B",3,IF(R26="c",4,IF(R26="d",5,IF(R26="e",6,IF(R26="f",7,IF(R26="g",8,IF(R26="h",9,"erro"))))))))</f>
        <v>5</v>
      </c>
      <c r="AC26" s="239">
        <f>VLOOKUP(AA26,'Ross Reidecke'!$A$4:$I$54,AB26)</f>
        <v>0.84599999999999997</v>
      </c>
    </row>
    <row r="27" spans="2:29">
      <c r="B27" s="271"/>
      <c r="C27" s="272"/>
      <c r="D27" s="272" t="s">
        <v>431</v>
      </c>
      <c r="E27" s="273"/>
      <c r="F27" s="274"/>
      <c r="G27" s="275"/>
      <c r="H27" s="275"/>
      <c r="I27" s="269"/>
      <c r="J27" s="269"/>
      <c r="K27" s="252"/>
      <c r="L27" s="269"/>
      <c r="M27" s="276"/>
      <c r="N27" s="276"/>
      <c r="O27" s="276"/>
      <c r="P27" s="276"/>
      <c r="Q27" s="276"/>
      <c r="R27" s="276"/>
      <c r="S27" s="277"/>
      <c r="T27" s="276"/>
      <c r="U27" s="269"/>
      <c r="V27" s="252"/>
      <c r="W27" s="269"/>
      <c r="X27" s="269"/>
      <c r="Y27" s="269"/>
      <c r="Z27" s="278"/>
    </row>
    <row r="28" spans="2:29">
      <c r="B28" s="271"/>
      <c r="C28" s="272"/>
      <c r="D28" s="272"/>
      <c r="E28" s="273"/>
      <c r="F28" s="274"/>
      <c r="G28" s="275"/>
      <c r="H28" s="275"/>
      <c r="I28" s="269"/>
      <c r="J28" s="269"/>
      <c r="K28" s="252"/>
      <c r="L28" s="269"/>
      <c r="M28" s="276"/>
      <c r="N28" s="276"/>
      <c r="O28" s="276"/>
      <c r="P28" s="276"/>
      <c r="Q28" s="276"/>
      <c r="R28" s="276"/>
      <c r="S28" s="277"/>
      <c r="T28" s="276"/>
      <c r="U28" s="269"/>
      <c r="V28" s="252"/>
      <c r="W28" s="269"/>
      <c r="X28" s="269"/>
      <c r="Y28" s="269"/>
      <c r="Z28" s="278"/>
    </row>
    <row r="29" spans="2:29">
      <c r="B29" s="271"/>
      <c r="C29" s="272"/>
      <c r="D29" s="272"/>
      <c r="E29" s="273"/>
      <c r="F29" s="274"/>
      <c r="G29" s="275"/>
      <c r="H29" s="275"/>
      <c r="I29" s="269"/>
      <c r="J29" s="269"/>
      <c r="K29" s="252"/>
      <c r="L29" s="269"/>
      <c r="M29" s="276"/>
      <c r="N29" s="276"/>
      <c r="O29" s="276"/>
      <c r="P29" s="276"/>
      <c r="Q29" s="276"/>
      <c r="R29" s="276"/>
      <c r="S29" s="277"/>
      <c r="T29" s="276"/>
      <c r="U29" s="269"/>
      <c r="V29" s="252"/>
      <c r="W29" s="269"/>
      <c r="X29" s="269"/>
      <c r="Y29" s="269"/>
      <c r="Z29" s="278"/>
    </row>
    <row r="30" spans="2:29">
      <c r="B30" s="271">
        <v>5</v>
      </c>
      <c r="C30" s="272"/>
      <c r="D30" s="280" t="s">
        <v>432</v>
      </c>
      <c r="E30" s="273">
        <v>1</v>
      </c>
      <c r="F30" s="274"/>
      <c r="G30" s="275"/>
      <c r="H30" s="275"/>
      <c r="I30" s="269"/>
      <c r="J30" s="269" t="e">
        <f>G30/I30</f>
        <v>#DIV/0!</v>
      </c>
      <c r="K30" s="252">
        <v>100</v>
      </c>
      <c r="L30" s="269">
        <v>0.9</v>
      </c>
      <c r="M30" s="276">
        <v>1</v>
      </c>
      <c r="N30" s="276"/>
      <c r="O30" s="276"/>
      <c r="P30" s="331">
        <v>10</v>
      </c>
      <c r="Q30" s="331">
        <v>70</v>
      </c>
      <c r="R30" s="331" t="s">
        <v>212</v>
      </c>
      <c r="S30" s="344">
        <f>$Z$7+AC30*(1-$Z$7)</f>
        <v>0.87680000000000002</v>
      </c>
      <c r="T30" s="334">
        <f>(F30*L30)-S30*N30*H30*O30</f>
        <v>0</v>
      </c>
      <c r="U30" s="269"/>
      <c r="V30" s="269">
        <f>IF(I30&lt;$I$6,($I$6/I30)^0.25,IF(I30=$K$6,1,($I$6/I30)^0.25))</f>
        <v>1</v>
      </c>
      <c r="W30" s="269" t="e">
        <f>IF(J30&lt;$I$7,(J30/$I$7)^0.5,IF(AND(J30&gt;=$I$7, J30&lt;=$I$8),1,(J30/$I$8)^0.5))</f>
        <v>#DIV/0!</v>
      </c>
      <c r="X30" s="269">
        <f>$G$8/K30</f>
        <v>1</v>
      </c>
      <c r="Y30" s="269">
        <v>1</v>
      </c>
      <c r="Z30" s="338" t="e">
        <f>T30*M30*U30*V30*W30*X30*Y30/G30</f>
        <v>#DIV/0!</v>
      </c>
      <c r="AA30" s="239">
        <f>FLOOR(P30*100/Q30,2)</f>
        <v>14</v>
      </c>
      <c r="AB30" s="239">
        <f>IF(R30="A",2,IF(R30="B",3,IF(R30="c",4,IF(R30="d",5,IF(R30="e",6,IF(R30="f",7,IF(R30="g",8,IF(R30="h",9,"erro"))))))))</f>
        <v>5</v>
      </c>
      <c r="AC30" s="239">
        <f>VLOOKUP(AA30,'Ross Reidecke'!$A$4:$I$54,AB30)</f>
        <v>0.84599999999999997</v>
      </c>
    </row>
    <row r="31" spans="2:29">
      <c r="B31" s="271" t="s">
        <v>433</v>
      </c>
      <c r="C31" s="272"/>
      <c r="D31" s="272" t="s">
        <v>434</v>
      </c>
      <c r="E31" s="273"/>
      <c r="F31" s="274"/>
      <c r="G31" s="275"/>
      <c r="H31" s="281"/>
      <c r="I31" s="269"/>
      <c r="J31" s="269"/>
      <c r="K31" s="252"/>
      <c r="L31" s="269"/>
      <c r="M31" s="276"/>
      <c r="N31" s="276"/>
      <c r="O31" s="276"/>
      <c r="P31" s="276"/>
      <c r="Q31" s="276"/>
      <c r="R31" s="276"/>
      <c r="S31" s="268"/>
      <c r="T31" s="276"/>
      <c r="U31" s="269"/>
      <c r="V31" s="269"/>
      <c r="W31" s="252"/>
      <c r="X31" s="269"/>
      <c r="Y31" s="269"/>
      <c r="Z31" s="278"/>
    </row>
    <row r="32" spans="2:29">
      <c r="B32" s="271"/>
      <c r="C32" s="272"/>
      <c r="D32" s="272" t="s">
        <v>435</v>
      </c>
      <c r="E32" s="273"/>
      <c r="F32" s="274"/>
      <c r="G32" s="275"/>
      <c r="H32" s="281"/>
      <c r="I32" s="269"/>
      <c r="J32" s="269"/>
      <c r="K32" s="252"/>
      <c r="L32" s="269"/>
      <c r="M32" s="276"/>
      <c r="N32" s="276"/>
      <c r="O32" s="276"/>
      <c r="P32" s="276"/>
      <c r="Q32" s="276"/>
      <c r="R32" s="276"/>
      <c r="S32" s="268"/>
      <c r="T32" s="276"/>
      <c r="U32" s="269"/>
      <c r="V32" s="269"/>
      <c r="W32" s="252"/>
      <c r="X32" s="269"/>
      <c r="Y32" s="269"/>
      <c r="Z32" s="278"/>
    </row>
    <row r="33" spans="2:27">
      <c r="B33" s="271"/>
      <c r="C33" s="272"/>
      <c r="D33" s="272"/>
      <c r="E33" s="273"/>
      <c r="F33" s="282"/>
      <c r="G33" s="275"/>
      <c r="H33" s="283"/>
      <c r="I33" s="269"/>
      <c r="J33" s="269"/>
      <c r="K33" s="252"/>
      <c r="L33" s="269"/>
      <c r="M33" s="276"/>
      <c r="N33" s="276"/>
      <c r="O33" s="276"/>
      <c r="P33" s="276"/>
      <c r="Q33" s="276"/>
      <c r="R33" s="276"/>
      <c r="S33" s="268"/>
      <c r="T33" s="278"/>
      <c r="U33" s="281"/>
      <c r="V33" s="281"/>
      <c r="W33" s="270"/>
      <c r="X33" s="246"/>
      <c r="Y33" s="246"/>
      <c r="Z33" s="278"/>
    </row>
    <row r="34" spans="2:27">
      <c r="B34" s="284"/>
      <c r="C34" s="264"/>
      <c r="D34" s="264"/>
      <c r="E34" s="248"/>
      <c r="F34" s="285"/>
      <c r="G34" s="286"/>
      <c r="H34" s="286"/>
      <c r="I34" s="286"/>
      <c r="J34" s="286"/>
      <c r="K34" s="263"/>
      <c r="L34" s="286"/>
      <c r="M34" s="285"/>
      <c r="N34" s="285"/>
      <c r="O34" s="285"/>
      <c r="P34" s="285"/>
      <c r="Q34" s="285"/>
      <c r="R34" s="285"/>
      <c r="S34" s="285"/>
      <c r="T34" s="287"/>
      <c r="U34" s="288"/>
      <c r="V34" s="288"/>
      <c r="W34" s="288"/>
      <c r="X34" s="250"/>
      <c r="Y34" s="250"/>
      <c r="Z34" s="287"/>
    </row>
    <row r="35" spans="2:27">
      <c r="B35" s="252"/>
      <c r="C35" s="245" t="s">
        <v>189</v>
      </c>
      <c r="D35" s="245"/>
      <c r="E35" s="245"/>
      <c r="F35" s="289"/>
      <c r="G35" s="290" t="s">
        <v>436</v>
      </c>
      <c r="H35" s="246"/>
      <c r="I35" s="246"/>
      <c r="J35" s="246"/>
      <c r="K35" s="245"/>
      <c r="L35" s="246"/>
      <c r="M35" s="289"/>
      <c r="N35" s="289"/>
      <c r="O35" s="289"/>
      <c r="P35" s="289"/>
      <c r="Q35" s="289"/>
      <c r="R35" s="289"/>
      <c r="S35" s="289"/>
      <c r="T35" s="291"/>
      <c r="U35" s="246"/>
      <c r="V35" s="246"/>
      <c r="W35" s="246"/>
      <c r="X35" s="246"/>
      <c r="Y35" s="246"/>
      <c r="Z35" s="292"/>
    </row>
    <row r="36" spans="2:27">
      <c r="B36" s="252"/>
      <c r="C36" s="293"/>
      <c r="D36" s="245"/>
      <c r="E36" s="245"/>
      <c r="F36" s="289"/>
      <c r="G36" s="252" t="s">
        <v>437</v>
      </c>
      <c r="H36" s="246"/>
      <c r="I36" s="246"/>
      <c r="J36" s="246"/>
      <c r="K36" s="245"/>
      <c r="L36" s="246"/>
      <c r="M36" s="289"/>
      <c r="N36" s="289"/>
      <c r="O36" s="289"/>
      <c r="P36" s="289"/>
      <c r="Q36" s="289"/>
      <c r="R36" s="289"/>
      <c r="S36" s="289"/>
      <c r="T36" s="292"/>
      <c r="U36" s="294" t="s">
        <v>190</v>
      </c>
      <c r="V36" s="294"/>
      <c r="W36" s="294"/>
      <c r="X36" s="294" t="s">
        <v>136</v>
      </c>
      <c r="Y36" s="294"/>
      <c r="Z36" s="295" t="e">
        <f>AVERAGE(Z14:Z31)</f>
        <v>#DIV/0!</v>
      </c>
    </row>
    <row r="37" spans="2:27">
      <c r="B37" s="296" t="s">
        <v>217</v>
      </c>
      <c r="C37" s="296"/>
      <c r="D37" s="297"/>
      <c r="E37" s="245"/>
      <c r="F37" s="298"/>
      <c r="G37" s="299"/>
      <c r="H37" s="246"/>
      <c r="I37" s="300"/>
      <c r="J37" s="246"/>
      <c r="K37" s="245"/>
      <c r="L37" s="246"/>
      <c r="M37" s="289"/>
      <c r="N37" s="289"/>
      <c r="O37" s="289"/>
      <c r="P37" s="289"/>
      <c r="Q37" s="289"/>
      <c r="R37" s="289"/>
      <c r="S37" s="289"/>
      <c r="T37" s="292"/>
      <c r="U37" s="294" t="s">
        <v>438</v>
      </c>
      <c r="V37" s="294"/>
      <c r="W37" s="294"/>
      <c r="X37" s="294" t="s">
        <v>136</v>
      </c>
      <c r="Y37" s="294"/>
      <c r="Z37" s="295" t="e">
        <f>STDEV(Z14:Z33)</f>
        <v>#DIV/0!</v>
      </c>
    </row>
    <row r="38" spans="2:27">
      <c r="B38" s="252"/>
      <c r="C38" s="301"/>
      <c r="D38" s="297"/>
      <c r="E38" s="245"/>
      <c r="F38" s="298"/>
      <c r="G38" s="252"/>
      <c r="H38" s="245"/>
      <c r="I38" s="300"/>
      <c r="J38" s="246"/>
      <c r="K38" s="245"/>
      <c r="L38" s="246"/>
      <c r="M38" s="245"/>
      <c r="N38" s="289"/>
      <c r="O38" s="289"/>
      <c r="P38" s="289"/>
      <c r="Q38" s="289"/>
      <c r="R38" s="289"/>
      <c r="S38" s="289"/>
      <c r="T38" s="292"/>
      <c r="U38" s="302" t="s">
        <v>439</v>
      </c>
      <c r="V38" s="294"/>
      <c r="W38" s="294"/>
      <c r="X38" s="294" t="s">
        <v>136</v>
      </c>
      <c r="Y38" s="294"/>
      <c r="Z38" s="295" t="e">
        <f>Z36*1.3</f>
        <v>#DIV/0!</v>
      </c>
    </row>
    <row r="39" spans="2:27">
      <c r="B39" s="252"/>
      <c r="C39" s="303"/>
      <c r="D39" s="245"/>
      <c r="E39" s="245"/>
      <c r="F39" s="289"/>
      <c r="G39" s="252"/>
      <c r="H39" s="304"/>
      <c r="I39" s="305"/>
      <c r="J39" s="306"/>
      <c r="K39" s="253"/>
      <c r="L39" s="306"/>
      <c r="M39" s="307"/>
      <c r="N39" s="289"/>
      <c r="O39" s="289"/>
      <c r="P39" s="289"/>
      <c r="Q39" s="289"/>
      <c r="R39" s="289"/>
      <c r="S39" s="289"/>
      <c r="T39" s="292"/>
      <c r="U39" s="255" t="s">
        <v>440</v>
      </c>
      <c r="V39" s="294"/>
      <c r="W39" s="294"/>
      <c r="X39" s="256" t="s">
        <v>136</v>
      </c>
      <c r="Y39" s="256"/>
      <c r="Z39" s="295" t="e">
        <f>Z36*0.7</f>
        <v>#DIV/0!</v>
      </c>
    </row>
    <row r="40" spans="2:27">
      <c r="B40" s="252"/>
      <c r="C40" s="303"/>
      <c r="D40" s="297"/>
      <c r="E40" s="245"/>
      <c r="F40" s="289"/>
      <c r="G40" s="252"/>
      <c r="H40" s="306"/>
      <c r="I40" s="308"/>
      <c r="J40" s="306"/>
      <c r="K40" s="253"/>
      <c r="L40" s="306"/>
      <c r="M40" s="307"/>
      <c r="N40" s="289"/>
      <c r="O40" s="289"/>
      <c r="P40" s="289"/>
      <c r="Q40" s="289"/>
      <c r="R40" s="289"/>
      <c r="S40" s="289"/>
      <c r="T40" s="292"/>
      <c r="U40" s="255" t="s">
        <v>441</v>
      </c>
      <c r="V40" s="294"/>
      <c r="W40" s="294"/>
      <c r="X40" s="256" t="s">
        <v>136</v>
      </c>
      <c r="Y40" s="256"/>
      <c r="Z40" s="295" t="e">
        <f>Z36</f>
        <v>#DIV/0!</v>
      </c>
    </row>
    <row r="41" spans="2:27">
      <c r="B41" s="252"/>
      <c r="C41" s="303"/>
      <c r="D41" s="297"/>
      <c r="E41" s="245"/>
      <c r="F41" s="289"/>
      <c r="G41" s="252"/>
      <c r="H41" s="306"/>
      <c r="I41" s="308"/>
      <c r="J41" s="306"/>
      <c r="K41" s="253"/>
      <c r="L41" s="306"/>
      <c r="M41" s="307"/>
      <c r="N41" s="289"/>
      <c r="O41" s="289"/>
      <c r="P41" s="289"/>
      <c r="Q41" s="289"/>
      <c r="R41" s="289"/>
      <c r="S41" s="289"/>
      <c r="T41" s="292"/>
      <c r="U41" s="245"/>
      <c r="V41" s="246"/>
      <c r="W41" s="246"/>
      <c r="X41" s="245"/>
      <c r="Y41" s="245"/>
      <c r="Z41" s="292"/>
    </row>
    <row r="42" spans="2:27">
      <c r="B42" s="252"/>
      <c r="C42" s="297"/>
      <c r="D42" s="245"/>
      <c r="E42" s="245"/>
      <c r="F42" s="309"/>
      <c r="G42" s="286"/>
      <c r="H42" s="310"/>
      <c r="I42" s="310"/>
      <c r="J42" s="310"/>
      <c r="K42" s="311"/>
      <c r="L42" s="310"/>
      <c r="M42" s="312"/>
      <c r="N42" s="309"/>
      <c r="O42" s="309"/>
      <c r="P42" s="309"/>
      <c r="Q42" s="309"/>
      <c r="R42" s="309"/>
      <c r="S42" s="309"/>
      <c r="T42" s="313"/>
      <c r="U42" s="250"/>
      <c r="V42" s="250"/>
      <c r="W42" s="250"/>
      <c r="X42" s="250"/>
      <c r="Y42" s="250"/>
      <c r="Z42" s="313"/>
    </row>
    <row r="43" spans="2:27">
      <c r="B43" s="252"/>
      <c r="C43" s="245"/>
      <c r="D43" s="245"/>
      <c r="E43" s="247"/>
      <c r="F43" s="309"/>
      <c r="G43" s="314" t="s">
        <v>442</v>
      </c>
      <c r="H43" s="314" t="s">
        <v>443</v>
      </c>
      <c r="I43" s="315" t="s">
        <v>444</v>
      </c>
      <c r="J43" s="315" t="s">
        <v>445</v>
      </c>
      <c r="K43" s="263"/>
      <c r="L43" s="250"/>
      <c r="M43" s="316" t="s">
        <v>446</v>
      </c>
      <c r="N43" s="316" t="s">
        <v>447</v>
      </c>
      <c r="O43" s="316"/>
      <c r="P43" s="316"/>
      <c r="Q43" s="316"/>
      <c r="R43" s="316"/>
      <c r="S43" s="317" t="s">
        <v>204</v>
      </c>
      <c r="T43" s="317" t="s">
        <v>448</v>
      </c>
      <c r="U43" s="315" t="s">
        <v>449</v>
      </c>
      <c r="V43" s="318" t="s">
        <v>450</v>
      </c>
      <c r="W43" s="315" t="s">
        <v>413</v>
      </c>
      <c r="X43" s="286"/>
      <c r="Y43" s="250"/>
      <c r="Z43" s="313" t="s">
        <v>451</v>
      </c>
    </row>
    <row r="44" spans="2:27">
      <c r="B44" s="252"/>
      <c r="C44" s="245"/>
      <c r="D44" s="319"/>
      <c r="E44" s="247"/>
      <c r="F44" s="309" t="s">
        <v>452</v>
      </c>
      <c r="G44" s="320">
        <f>'[5]Página 1'!B38</f>
        <v>0</v>
      </c>
      <c r="H44" s="321"/>
      <c r="I44" s="286">
        <f>'[5]Página 1'!E38</f>
        <v>0</v>
      </c>
      <c r="J44" s="286" t="e">
        <f>G44/I44</f>
        <v>#DIV/0!</v>
      </c>
      <c r="K44" s="322"/>
      <c r="L44" s="323"/>
      <c r="M44" s="285" t="e">
        <f>Z40</f>
        <v>#DIV/0!</v>
      </c>
      <c r="N44" s="321"/>
      <c r="O44" s="321"/>
      <c r="P44" s="321"/>
      <c r="Q44" s="321"/>
      <c r="R44" s="321"/>
      <c r="S44" s="321"/>
      <c r="T44" s="321"/>
      <c r="U44" s="286"/>
      <c r="V44" s="324">
        <f>1/IF(I44&lt;$I$6,($I$6/I44)^0.25,IF(I44=$K$6,1,($I$6/I44)^0.25))</f>
        <v>1</v>
      </c>
      <c r="W44" s="324" t="e">
        <f>IF(J44&lt;$I$7,(J44/$I$7)^0.5,IF(AND(J44&gt;=$I$7, J44&lt;=$I$8),1,(J44/$I$8)^0.5))</f>
        <v>#DIV/0!</v>
      </c>
      <c r="X44" s="263" t="s">
        <v>136</v>
      </c>
      <c r="Y44" s="249"/>
      <c r="Z44" s="325" t="e">
        <f>ROUND(G44*M44*U44*V44*W44,-2)</f>
        <v>#DIV/0!</v>
      </c>
      <c r="AA44" s="239" t="e">
        <f>Z44/G44</f>
        <v>#DIV/0!</v>
      </c>
    </row>
    <row r="45" spans="2:27">
      <c r="B45" s="252"/>
      <c r="C45" s="245"/>
      <c r="D45" s="260"/>
      <c r="E45" s="247"/>
      <c r="F45" s="309" t="s">
        <v>453</v>
      </c>
      <c r="G45" s="321"/>
      <c r="H45" s="314">
        <f>'[5]Página 1'!H47:J47</f>
        <v>0</v>
      </c>
      <c r="I45" s="321"/>
      <c r="J45" s="321"/>
      <c r="K45" s="321"/>
      <c r="L45" s="326"/>
      <c r="M45" s="321"/>
      <c r="N45" s="327"/>
      <c r="O45" s="327"/>
      <c r="P45" s="327"/>
      <c r="Q45" s="327"/>
      <c r="R45" s="327"/>
      <c r="S45" s="285"/>
      <c r="T45" s="285">
        <f>(S45/80-1)*-1</f>
        <v>1</v>
      </c>
      <c r="U45" s="321"/>
      <c r="V45" s="321"/>
      <c r="W45" s="321"/>
      <c r="X45" s="255" t="s">
        <v>136</v>
      </c>
      <c r="Y45" s="249"/>
      <c r="Z45" s="325">
        <f>ROUND(H45*N45*T45,-2)</f>
        <v>0</v>
      </c>
      <c r="AA45" s="239" t="e">
        <f>Z45/H45</f>
        <v>#DIV/0!</v>
      </c>
    </row>
    <row r="46" spans="2:27">
      <c r="B46" s="263"/>
      <c r="C46" s="249"/>
      <c r="D46" s="249"/>
      <c r="E46" s="328"/>
      <c r="F46" s="258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30" t="s">
        <v>454</v>
      </c>
      <c r="X46" s="256" t="s">
        <v>136</v>
      </c>
      <c r="Y46" s="256"/>
      <c r="Z46" s="325" t="e">
        <f>Z44+Z45</f>
        <v>#DIV/0!</v>
      </c>
    </row>
  </sheetData>
  <mergeCells count="10">
    <mergeCell ref="B8:C8"/>
    <mergeCell ref="D8:E8"/>
    <mergeCell ref="V8:Z8"/>
    <mergeCell ref="H2:M2"/>
    <mergeCell ref="H3:M3"/>
    <mergeCell ref="B6:C6"/>
    <mergeCell ref="D6:E6"/>
    <mergeCell ref="W6:Z6"/>
    <mergeCell ref="B7:C7"/>
    <mergeCell ref="D7:E7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59" orientation="landscape" horizontalDpi="4294967295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lista!I3:I11</xm:f>
          </x14:formula1>
          <xm:sqref>R14 R18 R22 R26 R30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Q61"/>
  <sheetViews>
    <sheetView showGridLines="0" showZeros="0" view="pageBreakPreview" topLeftCell="A16" zoomScaleNormal="100" zoomScaleSheetLayoutView="100" workbookViewId="0">
      <selection activeCell="U28" sqref="U28"/>
    </sheetView>
  </sheetViews>
  <sheetFormatPr defaultRowHeight="16.5" customHeight="1"/>
  <cols>
    <col min="1" max="1" width="1.28515625" style="1" customWidth="1"/>
    <col min="2" max="2" width="10.5703125" style="1" customWidth="1"/>
    <col min="3" max="3" width="14.140625" style="1" customWidth="1"/>
    <col min="4" max="4" width="9.140625" style="1"/>
    <col min="5" max="5" width="5.5703125" style="1" customWidth="1"/>
    <col min="6" max="6" width="6.5703125" style="1" customWidth="1"/>
    <col min="7" max="7" width="12.5703125" style="1" customWidth="1"/>
    <col min="8" max="8" width="9.140625" style="1"/>
    <col min="9" max="9" width="10.140625" style="1" customWidth="1"/>
    <col min="10" max="10" width="2.5703125" style="1" customWidth="1"/>
    <col min="11" max="11" width="1.28515625" style="1" customWidth="1"/>
    <col min="12" max="13" width="2.7109375" style="1" customWidth="1"/>
    <col min="14" max="17" width="9.140625" style="1" hidden="1" customWidth="1"/>
    <col min="18" max="16384" width="9.140625" style="1"/>
  </cols>
  <sheetData>
    <row r="1" spans="1:14" ht="5.25" customHeight="1"/>
    <row r="2" spans="1:14" ht="15" customHeight="1">
      <c r="A2" s="75"/>
      <c r="B2" s="76"/>
      <c r="C2" s="76"/>
      <c r="D2" s="915"/>
      <c r="E2" s="915"/>
      <c r="F2" s="915"/>
      <c r="G2" s="915"/>
      <c r="H2" s="920"/>
      <c r="I2" s="920"/>
      <c r="J2" s="77"/>
      <c r="K2" s="78"/>
    </row>
    <row r="3" spans="1:14" ht="12" customHeight="1">
      <c r="A3" s="79"/>
      <c r="H3" s="919"/>
      <c r="I3" s="919"/>
      <c r="J3" s="10"/>
      <c r="K3" s="80"/>
      <c r="L3" s="70"/>
      <c r="N3" s="1" t="s">
        <v>25</v>
      </c>
    </row>
    <row r="4" spans="1:14" ht="12" customHeight="1">
      <c r="A4" s="81"/>
      <c r="E4" s="924" t="s">
        <v>258</v>
      </c>
      <c r="F4" s="925"/>
      <c r="G4" s="925"/>
      <c r="H4" s="925"/>
      <c r="I4" s="925"/>
      <c r="J4" s="926"/>
      <c r="K4" s="82"/>
      <c r="N4" s="1" t="s">
        <v>22</v>
      </c>
    </row>
    <row r="5" spans="1:14" ht="6" customHeight="1">
      <c r="A5" s="81"/>
      <c r="K5" s="82"/>
      <c r="N5" s="1" t="s">
        <v>23</v>
      </c>
    </row>
    <row r="6" spans="1:14" ht="12" customHeight="1">
      <c r="A6" s="81"/>
      <c r="B6" s="1014" t="s">
        <v>157</v>
      </c>
      <c r="C6" s="1015"/>
      <c r="D6" s="1015"/>
      <c r="E6" s="1015"/>
      <c r="F6" s="1015"/>
      <c r="G6" s="1016"/>
      <c r="H6" s="909" t="s">
        <v>26</v>
      </c>
      <c r="I6" s="914"/>
      <c r="J6" s="910"/>
      <c r="K6" s="82"/>
      <c r="N6" s="1" t="s">
        <v>44</v>
      </c>
    </row>
    <row r="7" spans="1:14" ht="16.5" customHeight="1">
      <c r="A7" s="81"/>
      <c r="B7" s="1009" t="str">
        <f>Fotos!B6</f>
        <v>Carlos Augusto Silva Canil</v>
      </c>
      <c r="C7" s="1010"/>
      <c r="D7" s="1010"/>
      <c r="E7" s="1010"/>
      <c r="F7" s="1010"/>
      <c r="G7" s="1010"/>
      <c r="H7" s="1011" t="str">
        <f>Fotos!H6</f>
        <v>000.409.717-32</v>
      </c>
      <c r="I7" s="1012"/>
      <c r="J7" s="1013"/>
      <c r="K7" s="82"/>
      <c r="N7" s="1" t="s">
        <v>45</v>
      </c>
    </row>
    <row r="8" spans="1:14" ht="4.5" customHeight="1">
      <c r="A8" s="81"/>
      <c r="K8" s="82"/>
      <c r="N8" s="1" t="s">
        <v>24</v>
      </c>
    </row>
    <row r="9" spans="1:14" ht="12" customHeight="1">
      <c r="A9" s="81"/>
      <c r="B9" s="927" t="s">
        <v>158</v>
      </c>
      <c r="C9" s="927"/>
      <c r="D9" s="927"/>
      <c r="E9" s="927"/>
      <c r="F9" s="927"/>
      <c r="G9" s="9" t="s">
        <v>32</v>
      </c>
      <c r="H9" s="911" t="s">
        <v>64</v>
      </c>
      <c r="I9" s="912"/>
      <c r="J9" s="913"/>
      <c r="K9" s="82"/>
      <c r="N9" s="1" t="s">
        <v>46</v>
      </c>
    </row>
    <row r="10" spans="1:14" ht="16.5" customHeight="1">
      <c r="A10" s="81"/>
      <c r="B10" s="1017" t="str">
        <f>Fotos!B9</f>
        <v>Rua Cardeal Montini</v>
      </c>
      <c r="C10" s="1017">
        <f>Fotos!C9</f>
        <v>0</v>
      </c>
      <c r="D10" s="1017">
        <f>Fotos!D9</f>
        <v>0</v>
      </c>
      <c r="E10" s="1017">
        <f>Fotos!E9</f>
        <v>0</v>
      </c>
      <c r="F10" s="1017">
        <f>Fotos!F9</f>
        <v>0</v>
      </c>
      <c r="G10" s="40">
        <f>Fotos!G9</f>
        <v>0</v>
      </c>
      <c r="H10" s="1011">
        <f>Fotos!H9</f>
        <v>0</v>
      </c>
      <c r="I10" s="1012">
        <f>Fotos!I9</f>
        <v>0</v>
      </c>
      <c r="J10" s="1013">
        <f>Fotos!J9</f>
        <v>0</v>
      </c>
      <c r="K10" s="82"/>
      <c r="N10" s="1" t="s">
        <v>47</v>
      </c>
    </row>
    <row r="11" spans="1:14" ht="12" customHeight="1">
      <c r="A11" s="81"/>
      <c r="B11" s="909" t="s">
        <v>0</v>
      </c>
      <c r="C11" s="910"/>
      <c r="D11" s="909" t="s">
        <v>1</v>
      </c>
      <c r="E11" s="914"/>
      <c r="F11" s="910"/>
      <c r="G11" s="9" t="s">
        <v>33</v>
      </c>
      <c r="H11" s="911" t="s">
        <v>16</v>
      </c>
      <c r="I11" s="912"/>
      <c r="J11" s="913"/>
      <c r="K11" s="82"/>
    </row>
    <row r="12" spans="1:14" ht="16.5" customHeight="1">
      <c r="A12" s="81"/>
      <c r="B12" s="1011" t="str">
        <f>Fotos!B11</f>
        <v>Jardim Santa Catarina</v>
      </c>
      <c r="C12" s="1013">
        <f>Fotos!C11</f>
        <v>0</v>
      </c>
      <c r="D12" s="1011" t="str">
        <f>Fotos!D11</f>
        <v>São Gonçalo</v>
      </c>
      <c r="E12" s="1012">
        <f>Fotos!E11</f>
        <v>0</v>
      </c>
      <c r="F12" s="1013">
        <f>Fotos!F11</f>
        <v>0</v>
      </c>
      <c r="G12" s="40" t="str">
        <f>Fotos!G11</f>
        <v>RJ</v>
      </c>
      <c r="H12" s="1011" t="str">
        <f>Fotos!H11</f>
        <v>24715-406</v>
      </c>
      <c r="I12" s="1012">
        <f>Fotos!I11</f>
        <v>0</v>
      </c>
      <c r="J12" s="1013">
        <f>Fotos!J11</f>
        <v>0</v>
      </c>
      <c r="K12" s="82"/>
      <c r="N12" s="1" t="s">
        <v>48</v>
      </c>
    </row>
    <row r="13" spans="1:14" ht="4.5" customHeight="1">
      <c r="A13" s="81"/>
      <c r="K13" s="82"/>
      <c r="N13" s="1" t="s">
        <v>49</v>
      </c>
    </row>
    <row r="14" spans="1:14" ht="8.25" customHeight="1">
      <c r="A14" s="81"/>
      <c r="B14" s="8"/>
      <c r="C14" s="8"/>
      <c r="D14" s="8"/>
      <c r="E14" s="8"/>
      <c r="F14" s="8"/>
      <c r="G14" s="8"/>
      <c r="H14" s="8"/>
      <c r="I14" s="8"/>
      <c r="J14" s="8"/>
      <c r="K14" s="82"/>
      <c r="N14" s="1" t="s">
        <v>51</v>
      </c>
    </row>
    <row r="15" spans="1:14" ht="16.5" customHeight="1">
      <c r="A15" s="81"/>
      <c r="B15" s="931"/>
      <c r="C15" s="932"/>
      <c r="D15" s="932"/>
      <c r="E15" s="932"/>
      <c r="F15" s="932"/>
      <c r="G15" s="932"/>
      <c r="H15" s="932"/>
      <c r="I15" s="932"/>
      <c r="J15" s="933"/>
      <c r="K15" s="82"/>
      <c r="N15" s="1" t="s">
        <v>50</v>
      </c>
    </row>
    <row r="16" spans="1:14" ht="16.5" customHeight="1">
      <c r="A16" s="81"/>
      <c r="B16" s="934"/>
      <c r="C16" s="935"/>
      <c r="D16" s="935"/>
      <c r="E16" s="935"/>
      <c r="F16" s="935"/>
      <c r="G16" s="935"/>
      <c r="H16" s="935"/>
      <c r="I16" s="935"/>
      <c r="J16" s="936"/>
      <c r="K16" s="82"/>
      <c r="N16" s="1" t="s">
        <v>52</v>
      </c>
    </row>
    <row r="17" spans="1:14" ht="16.5" customHeight="1">
      <c r="A17" s="81"/>
      <c r="B17" s="934"/>
      <c r="C17" s="935"/>
      <c r="D17" s="935"/>
      <c r="E17" s="935"/>
      <c r="F17" s="935"/>
      <c r="G17" s="935"/>
      <c r="H17" s="935"/>
      <c r="I17" s="935"/>
      <c r="J17" s="936"/>
      <c r="K17" s="82"/>
      <c r="N17" s="1" t="s">
        <v>53</v>
      </c>
    </row>
    <row r="18" spans="1:14" ht="16.5" customHeight="1">
      <c r="A18" s="81"/>
      <c r="B18" s="934"/>
      <c r="C18" s="935"/>
      <c r="D18" s="935"/>
      <c r="E18" s="935"/>
      <c r="F18" s="935"/>
      <c r="G18" s="935"/>
      <c r="H18" s="935"/>
      <c r="I18" s="935"/>
      <c r="J18" s="936"/>
      <c r="K18" s="82"/>
      <c r="N18" s="1" t="s">
        <v>62</v>
      </c>
    </row>
    <row r="19" spans="1:14" ht="16.5" customHeight="1">
      <c r="A19" s="81"/>
      <c r="B19" s="934"/>
      <c r="C19" s="935"/>
      <c r="D19" s="935"/>
      <c r="E19" s="935"/>
      <c r="F19" s="935"/>
      <c r="G19" s="935"/>
      <c r="H19" s="935"/>
      <c r="I19" s="935"/>
      <c r="J19" s="936"/>
      <c r="K19" s="82"/>
      <c r="N19" s="1" t="s">
        <v>27</v>
      </c>
    </row>
    <row r="20" spans="1:14" ht="16.5" customHeight="1">
      <c r="A20" s="81"/>
      <c r="B20" s="934"/>
      <c r="C20" s="935"/>
      <c r="D20" s="935"/>
      <c r="E20" s="935"/>
      <c r="F20" s="935"/>
      <c r="G20" s="935"/>
      <c r="H20" s="935"/>
      <c r="I20" s="935"/>
      <c r="J20" s="936"/>
      <c r="K20" s="82"/>
      <c r="N20" s="1" t="s">
        <v>63</v>
      </c>
    </row>
    <row r="21" spans="1:14" ht="16.5" customHeight="1">
      <c r="A21" s="81"/>
      <c r="B21" s="934"/>
      <c r="C21" s="935"/>
      <c r="D21" s="935"/>
      <c r="E21" s="935"/>
      <c r="F21" s="935"/>
      <c r="G21" s="935"/>
      <c r="H21" s="935"/>
      <c r="I21" s="935"/>
      <c r="J21" s="936"/>
      <c r="K21" s="82"/>
      <c r="N21" s="1" t="s">
        <v>28</v>
      </c>
    </row>
    <row r="22" spans="1:14" ht="16.5" customHeight="1">
      <c r="A22" s="81"/>
      <c r="B22" s="934"/>
      <c r="C22" s="935"/>
      <c r="D22" s="935"/>
      <c r="E22" s="935"/>
      <c r="F22" s="935"/>
      <c r="G22" s="935"/>
      <c r="H22" s="935"/>
      <c r="I22" s="935"/>
      <c r="J22" s="936"/>
      <c r="K22" s="82"/>
      <c r="N22" s="1" t="s">
        <v>30</v>
      </c>
    </row>
    <row r="23" spans="1:14" ht="16.5" customHeight="1">
      <c r="A23" s="81"/>
      <c r="B23" s="934"/>
      <c r="C23" s="935"/>
      <c r="D23" s="935"/>
      <c r="E23" s="935"/>
      <c r="F23" s="935"/>
      <c r="G23" s="935"/>
      <c r="H23" s="935"/>
      <c r="I23" s="935"/>
      <c r="J23" s="936"/>
      <c r="K23" s="82"/>
      <c r="N23" s="1" t="s">
        <v>29</v>
      </c>
    </row>
    <row r="24" spans="1:14" ht="16.5" customHeight="1">
      <c r="A24" s="81"/>
      <c r="B24" s="934"/>
      <c r="C24" s="935"/>
      <c r="D24" s="935"/>
      <c r="E24" s="935"/>
      <c r="F24" s="935"/>
      <c r="G24" s="935"/>
      <c r="H24" s="935"/>
      <c r="I24" s="935"/>
      <c r="J24" s="936"/>
      <c r="K24" s="82"/>
    </row>
    <row r="25" spans="1:14" ht="13.5" customHeight="1">
      <c r="A25" s="81"/>
      <c r="B25" s="934"/>
      <c r="C25" s="935"/>
      <c r="D25" s="935"/>
      <c r="E25" s="935"/>
      <c r="F25" s="935"/>
      <c r="G25" s="935"/>
      <c r="H25" s="935"/>
      <c r="I25" s="935"/>
      <c r="J25" s="936"/>
      <c r="K25" s="82"/>
      <c r="N25" s="1" t="s">
        <v>8</v>
      </c>
    </row>
    <row r="26" spans="1:14" ht="16.5" customHeight="1">
      <c r="A26" s="81"/>
      <c r="B26" s="934"/>
      <c r="C26" s="935"/>
      <c r="D26" s="935"/>
      <c r="E26" s="935"/>
      <c r="F26" s="935"/>
      <c r="G26" s="935"/>
      <c r="H26" s="935"/>
      <c r="I26" s="935"/>
      <c r="J26" s="936"/>
      <c r="K26" s="82"/>
      <c r="N26" s="1" t="s">
        <v>54</v>
      </c>
    </row>
    <row r="27" spans="1:14" ht="16.5" customHeight="1">
      <c r="A27" s="81"/>
      <c r="B27" s="934"/>
      <c r="C27" s="935"/>
      <c r="D27" s="935"/>
      <c r="E27" s="935"/>
      <c r="F27" s="935"/>
      <c r="G27" s="935"/>
      <c r="H27" s="935"/>
      <c r="I27" s="935"/>
      <c r="J27" s="936"/>
      <c r="K27" s="82"/>
    </row>
    <row r="28" spans="1:14" ht="16.5" customHeight="1">
      <c r="A28" s="81"/>
      <c r="B28" s="934"/>
      <c r="C28" s="935"/>
      <c r="D28" s="935"/>
      <c r="E28" s="935"/>
      <c r="F28" s="935"/>
      <c r="G28" s="935"/>
      <c r="H28" s="935"/>
      <c r="I28" s="935"/>
      <c r="J28" s="936"/>
      <c r="K28" s="82"/>
      <c r="N28" s="1" t="s">
        <v>4</v>
      </c>
    </row>
    <row r="29" spans="1:14" ht="16.5" customHeight="1">
      <c r="A29" s="81"/>
      <c r="B29" s="934"/>
      <c r="C29" s="935"/>
      <c r="D29" s="935"/>
      <c r="E29" s="935"/>
      <c r="F29" s="935"/>
      <c r="G29" s="935"/>
      <c r="H29" s="935"/>
      <c r="I29" s="935"/>
      <c r="J29" s="936"/>
      <c r="K29" s="82"/>
      <c r="N29" s="1" t="s">
        <v>55</v>
      </c>
    </row>
    <row r="30" spans="1:14" ht="16.5" customHeight="1">
      <c r="A30" s="81"/>
      <c r="B30" s="934"/>
      <c r="C30" s="935"/>
      <c r="D30" s="935"/>
      <c r="E30" s="935"/>
      <c r="F30" s="935"/>
      <c r="G30" s="935"/>
      <c r="H30" s="935"/>
      <c r="I30" s="935"/>
      <c r="J30" s="936"/>
      <c r="K30" s="82"/>
      <c r="N30" s="1" t="s">
        <v>3</v>
      </c>
    </row>
    <row r="31" spans="1:14" ht="16.5" customHeight="1">
      <c r="A31" s="81"/>
      <c r="B31" s="934"/>
      <c r="C31" s="935"/>
      <c r="D31" s="935"/>
      <c r="E31" s="935"/>
      <c r="F31" s="935"/>
      <c r="G31" s="935"/>
      <c r="H31" s="935"/>
      <c r="I31" s="935"/>
      <c r="J31" s="936"/>
      <c r="K31" s="82"/>
    </row>
    <row r="32" spans="1:14" ht="16.5" customHeight="1">
      <c r="A32" s="81"/>
      <c r="B32" s="934"/>
      <c r="C32" s="935"/>
      <c r="D32" s="935"/>
      <c r="E32" s="935"/>
      <c r="F32" s="935"/>
      <c r="G32" s="935"/>
      <c r="H32" s="935"/>
      <c r="I32" s="935"/>
      <c r="J32" s="936"/>
      <c r="K32" s="82"/>
      <c r="N32" s="1" t="s">
        <v>5</v>
      </c>
    </row>
    <row r="33" spans="1:14" ht="16.5" customHeight="1">
      <c r="A33" s="81"/>
      <c r="B33" s="934"/>
      <c r="C33" s="935"/>
      <c r="D33" s="935"/>
      <c r="E33" s="935"/>
      <c r="F33" s="935"/>
      <c r="G33" s="935"/>
      <c r="H33" s="935"/>
      <c r="I33" s="935"/>
      <c r="J33" s="936"/>
      <c r="K33" s="82"/>
      <c r="N33" s="1" t="s">
        <v>56</v>
      </c>
    </row>
    <row r="34" spans="1:14" ht="16.5" customHeight="1">
      <c r="A34" s="81"/>
      <c r="B34" s="934"/>
      <c r="C34" s="935"/>
      <c r="D34" s="935"/>
      <c r="E34" s="935"/>
      <c r="F34" s="935"/>
      <c r="G34" s="935"/>
      <c r="H34" s="935"/>
      <c r="I34" s="935"/>
      <c r="J34" s="936"/>
      <c r="K34" s="82"/>
      <c r="N34" s="1" t="s">
        <v>6</v>
      </c>
    </row>
    <row r="35" spans="1:14" ht="16.5" customHeight="1">
      <c r="A35" s="81"/>
      <c r="B35" s="934"/>
      <c r="C35" s="935"/>
      <c r="D35" s="935"/>
      <c r="E35" s="935"/>
      <c r="F35" s="935"/>
      <c r="G35" s="935"/>
      <c r="H35" s="935"/>
      <c r="I35" s="935"/>
      <c r="J35" s="936"/>
      <c r="K35" s="82"/>
      <c r="N35" s="1" t="s">
        <v>57</v>
      </c>
    </row>
    <row r="36" spans="1:14" ht="16.5" customHeight="1">
      <c r="A36" s="81"/>
      <c r="B36" s="934"/>
      <c r="C36" s="935"/>
      <c r="D36" s="935"/>
      <c r="E36" s="935"/>
      <c r="F36" s="935"/>
      <c r="G36" s="935"/>
      <c r="H36" s="935"/>
      <c r="I36" s="935"/>
      <c r="J36" s="936"/>
      <c r="K36" s="82"/>
      <c r="N36" s="1" t="s">
        <v>7</v>
      </c>
    </row>
    <row r="37" spans="1:14" ht="16.5" customHeight="1">
      <c r="A37" s="81"/>
      <c r="B37" s="934"/>
      <c r="C37" s="935"/>
      <c r="D37" s="935"/>
      <c r="E37" s="935"/>
      <c r="F37" s="935"/>
      <c r="G37" s="935"/>
      <c r="H37" s="935"/>
      <c r="I37" s="935"/>
      <c r="J37" s="936"/>
      <c r="K37" s="82"/>
    </row>
    <row r="38" spans="1:14" ht="16.5" customHeight="1">
      <c r="A38" s="81"/>
      <c r="B38" s="934"/>
      <c r="C38" s="935"/>
      <c r="D38" s="935"/>
      <c r="E38" s="935"/>
      <c r="F38" s="935"/>
      <c r="G38" s="935"/>
      <c r="H38" s="935"/>
      <c r="I38" s="935"/>
      <c r="J38" s="936"/>
      <c r="K38" s="82"/>
    </row>
    <row r="39" spans="1:14" ht="13.5" customHeight="1">
      <c r="A39" s="81"/>
      <c r="B39" s="934"/>
      <c r="C39" s="935"/>
      <c r="D39" s="935"/>
      <c r="E39" s="935"/>
      <c r="F39" s="935"/>
      <c r="G39" s="935"/>
      <c r="H39" s="935"/>
      <c r="I39" s="935"/>
      <c r="J39" s="936"/>
      <c r="K39" s="82"/>
    </row>
    <row r="40" spans="1:14" ht="16.5" customHeight="1">
      <c r="A40" s="81"/>
      <c r="B40" s="934"/>
      <c r="C40" s="935"/>
      <c r="D40" s="935"/>
      <c r="E40" s="935"/>
      <c r="F40" s="935"/>
      <c r="G40" s="935"/>
      <c r="H40" s="935"/>
      <c r="I40" s="935"/>
      <c r="J40" s="936"/>
      <c r="K40" s="82"/>
      <c r="N40" s="1" t="s">
        <v>58</v>
      </c>
    </row>
    <row r="41" spans="1:14" ht="16.5" customHeight="1">
      <c r="A41" s="81"/>
      <c r="B41" s="934"/>
      <c r="C41" s="935"/>
      <c r="D41" s="935"/>
      <c r="E41" s="935"/>
      <c r="F41" s="935"/>
      <c r="G41" s="935"/>
      <c r="H41" s="935"/>
      <c r="I41" s="935"/>
      <c r="J41" s="936"/>
      <c r="K41" s="82"/>
    </row>
    <row r="42" spans="1:14" ht="16.5" customHeight="1">
      <c r="A42" s="81"/>
      <c r="B42" s="934"/>
      <c r="C42" s="935"/>
      <c r="D42" s="935"/>
      <c r="E42" s="935"/>
      <c r="F42" s="935"/>
      <c r="G42" s="935"/>
      <c r="H42" s="935"/>
      <c r="I42" s="935"/>
      <c r="J42" s="936"/>
      <c r="K42" s="82"/>
      <c r="N42" s="1" t="s">
        <v>59</v>
      </c>
    </row>
    <row r="43" spans="1:14" ht="16.5" customHeight="1">
      <c r="A43" s="81"/>
      <c r="B43" s="934"/>
      <c r="C43" s="935"/>
      <c r="D43" s="935"/>
      <c r="E43" s="935"/>
      <c r="F43" s="935"/>
      <c r="G43" s="935"/>
      <c r="H43" s="935"/>
      <c r="I43" s="935"/>
      <c r="J43" s="936"/>
      <c r="K43" s="82"/>
    </row>
    <row r="44" spans="1:14" ht="16.5" customHeight="1">
      <c r="A44" s="81"/>
      <c r="B44" s="934"/>
      <c r="C44" s="935"/>
      <c r="D44" s="935"/>
      <c r="E44" s="935"/>
      <c r="F44" s="935"/>
      <c r="G44" s="935"/>
      <c r="H44" s="935"/>
      <c r="I44" s="935"/>
      <c r="J44" s="936"/>
      <c r="K44" s="82"/>
      <c r="N44" s="1" t="s">
        <v>60</v>
      </c>
    </row>
    <row r="45" spans="1:14" ht="16.5" customHeight="1">
      <c r="A45" s="81"/>
      <c r="B45" s="934"/>
      <c r="C45" s="935"/>
      <c r="D45" s="935"/>
      <c r="E45" s="935"/>
      <c r="F45" s="935"/>
      <c r="G45" s="935"/>
      <c r="H45" s="935"/>
      <c r="I45" s="935"/>
      <c r="J45" s="936"/>
      <c r="K45" s="82"/>
      <c r="N45" s="1" t="s">
        <v>61</v>
      </c>
    </row>
    <row r="46" spans="1:14" ht="16.5" customHeight="1">
      <c r="A46" s="81"/>
      <c r="B46" s="934"/>
      <c r="C46" s="935"/>
      <c r="D46" s="935"/>
      <c r="E46" s="935"/>
      <c r="F46" s="935"/>
      <c r="G46" s="935"/>
      <c r="H46" s="935"/>
      <c r="I46" s="935"/>
      <c r="J46" s="936"/>
      <c r="K46" s="82"/>
    </row>
    <row r="47" spans="1:14" ht="16.5" customHeight="1">
      <c r="A47" s="81"/>
      <c r="B47" s="934"/>
      <c r="C47" s="935"/>
      <c r="D47" s="935"/>
      <c r="E47" s="935"/>
      <c r="F47" s="935"/>
      <c r="G47" s="935"/>
      <c r="H47" s="935"/>
      <c r="I47" s="935"/>
      <c r="J47" s="936"/>
      <c r="K47" s="82"/>
    </row>
    <row r="48" spans="1:14" ht="16.5" customHeight="1">
      <c r="A48" s="81"/>
      <c r="B48" s="934"/>
      <c r="C48" s="935"/>
      <c r="D48" s="935"/>
      <c r="E48" s="935"/>
      <c r="F48" s="935"/>
      <c r="G48" s="935"/>
      <c r="H48" s="935"/>
      <c r="I48" s="935"/>
      <c r="J48" s="936"/>
      <c r="K48" s="82"/>
    </row>
    <row r="49" spans="1:11" ht="16.5" customHeight="1">
      <c r="A49" s="81"/>
      <c r="B49" s="937"/>
      <c r="C49" s="938"/>
      <c r="D49" s="938"/>
      <c r="E49" s="938"/>
      <c r="F49" s="938"/>
      <c r="G49" s="938"/>
      <c r="H49" s="938"/>
      <c r="I49" s="938"/>
      <c r="J49" s="939"/>
      <c r="K49" s="82"/>
    </row>
    <row r="50" spans="1:11" ht="4.5" customHeight="1">
      <c r="A50" s="83"/>
      <c r="B50" s="140"/>
      <c r="C50" s="140"/>
      <c r="D50" s="140"/>
      <c r="E50" s="140"/>
      <c r="F50" s="140"/>
      <c r="G50" s="140"/>
      <c r="H50" s="140"/>
      <c r="I50" s="140"/>
      <c r="J50" s="140"/>
      <c r="K50" s="85"/>
    </row>
    <row r="51" spans="1:11" ht="16.5" customHeight="1">
      <c r="B51" s="8"/>
      <c r="C51" s="8"/>
      <c r="D51" s="8"/>
      <c r="E51" s="8"/>
      <c r="F51" s="8"/>
      <c r="G51" s="8"/>
      <c r="H51" s="8"/>
      <c r="I51" s="8"/>
      <c r="J51" s="8"/>
    </row>
    <row r="52" spans="1:11" ht="16.5" customHeight="1">
      <c r="B52" s="8"/>
      <c r="C52" s="8"/>
      <c r="D52" s="8"/>
      <c r="E52" s="8"/>
      <c r="F52" s="8"/>
      <c r="G52" s="8"/>
      <c r="H52" s="8"/>
      <c r="I52" s="8"/>
      <c r="J52" s="8"/>
    </row>
    <row r="53" spans="1:11" ht="13.5" customHeight="1">
      <c r="B53" s="8"/>
      <c r="C53" s="8"/>
      <c r="D53" s="8"/>
      <c r="E53" s="8"/>
      <c r="F53" s="8"/>
      <c r="G53" s="8"/>
      <c r="H53" s="8"/>
      <c r="I53" s="8"/>
      <c r="J53" s="8"/>
    </row>
    <row r="54" spans="1:11" ht="16.5" customHeight="1">
      <c r="B54" s="8"/>
      <c r="C54" s="8"/>
      <c r="D54" s="8"/>
      <c r="E54" s="8"/>
      <c r="F54" s="8"/>
      <c r="G54" s="8"/>
      <c r="H54" s="8"/>
      <c r="I54" s="8"/>
      <c r="J54" s="8"/>
    </row>
    <row r="55" spans="1:11" ht="16.5" customHeight="1"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16.5" customHeight="1">
      <c r="B56" s="12"/>
      <c r="C56" s="12"/>
      <c r="D56" s="12"/>
      <c r="E56" s="12"/>
      <c r="F56" s="12"/>
      <c r="G56" s="12"/>
      <c r="H56" s="12"/>
      <c r="I56" s="12"/>
      <c r="J56" s="12"/>
    </row>
    <row r="57" spans="1:11" ht="16.5" customHeight="1">
      <c r="B57" s="11"/>
      <c r="C57" s="11"/>
      <c r="D57" s="11"/>
      <c r="E57" s="11"/>
      <c r="F57" s="11"/>
      <c r="G57" s="11"/>
      <c r="H57" s="11"/>
      <c r="I57" s="11"/>
      <c r="J57" s="13"/>
    </row>
    <row r="58" spans="1:11" ht="16.5" customHeight="1"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16.5" customHeight="1"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16.5" customHeight="1">
      <c r="B60" s="13"/>
      <c r="C60" s="13"/>
      <c r="D60" s="13"/>
      <c r="E60" s="13"/>
      <c r="F60" s="13"/>
      <c r="G60" s="13"/>
      <c r="H60" s="13"/>
      <c r="I60" s="13"/>
      <c r="J60" s="13"/>
    </row>
    <row r="61" spans="1:11" ht="16.5" customHeight="1">
      <c r="B61" s="13"/>
      <c r="C61" s="13"/>
      <c r="D61" s="13"/>
      <c r="E61" s="13"/>
      <c r="F61" s="13"/>
      <c r="G61" s="13"/>
      <c r="H61" s="13"/>
      <c r="I61" s="13"/>
      <c r="J61" s="13"/>
    </row>
  </sheetData>
  <mergeCells count="19">
    <mergeCell ref="H2:I2"/>
    <mergeCell ref="E4:J4"/>
    <mergeCell ref="B6:G6"/>
    <mergeCell ref="B9:F9"/>
    <mergeCell ref="H11:J11"/>
    <mergeCell ref="D11:F11"/>
    <mergeCell ref="B11:C11"/>
    <mergeCell ref="B10:F10"/>
    <mergeCell ref="D2:G2"/>
    <mergeCell ref="H10:J10"/>
    <mergeCell ref="H9:J9"/>
    <mergeCell ref="H7:J7"/>
    <mergeCell ref="H6:J6"/>
    <mergeCell ref="H3:I3"/>
    <mergeCell ref="B7:G7"/>
    <mergeCell ref="B15:J49"/>
    <mergeCell ref="H12:J12"/>
    <mergeCell ref="D12:F12"/>
    <mergeCell ref="B12:C12"/>
  </mergeCells>
  <phoneticPr fontId="5" type="noConversion"/>
  <printOptions horizontalCentered="1" verticalCentered="1"/>
  <pageMargins left="0.31496062992125984" right="0.23622047244094491" top="0.39370078740157483" bottom="0.39370078740157483" header="0" footer="0"/>
  <pageSetup paperSize="9" scale="108" orientation="portrait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Y59"/>
  <sheetViews>
    <sheetView workbookViewId="0">
      <selection activeCell="I16" sqref="I16"/>
    </sheetView>
  </sheetViews>
  <sheetFormatPr defaultRowHeight="12.75"/>
  <cols>
    <col min="20" max="20" width="9.7109375" customWidth="1"/>
  </cols>
  <sheetData>
    <row r="1" spans="1:25">
      <c r="A1" t="s">
        <v>220</v>
      </c>
    </row>
    <row r="2" spans="1:25">
      <c r="A2" s="173" t="s">
        <v>221</v>
      </c>
    </row>
    <row r="3" spans="1:25">
      <c r="A3" s="173"/>
      <c r="B3" s="343">
        <v>2</v>
      </c>
      <c r="C3" s="343">
        <v>3</v>
      </c>
      <c r="D3" s="343">
        <v>4</v>
      </c>
      <c r="E3" s="343">
        <v>5</v>
      </c>
      <c r="F3" s="343">
        <v>6</v>
      </c>
      <c r="G3" s="343">
        <v>7</v>
      </c>
      <c r="H3" s="343">
        <v>8</v>
      </c>
      <c r="I3" s="343">
        <v>9</v>
      </c>
      <c r="O3">
        <f>COLUMN(casa!R14)</f>
        <v>18</v>
      </c>
    </row>
    <row r="4" spans="1:25" ht="34.5" customHeight="1">
      <c r="A4" s="174" t="s">
        <v>222</v>
      </c>
      <c r="B4" s="175" t="s">
        <v>209</v>
      </c>
      <c r="C4" s="175" t="s">
        <v>210</v>
      </c>
      <c r="D4" s="175" t="s">
        <v>211</v>
      </c>
      <c r="E4" s="175" t="s">
        <v>212</v>
      </c>
      <c r="F4" s="175" t="s">
        <v>213</v>
      </c>
      <c r="G4" s="175" t="s">
        <v>214</v>
      </c>
      <c r="H4" s="175" t="s">
        <v>215</v>
      </c>
      <c r="I4" s="175" t="s">
        <v>216</v>
      </c>
      <c r="J4" s="339"/>
      <c r="K4" s="339"/>
      <c r="L4" s="339"/>
      <c r="M4" s="339"/>
      <c r="O4" s="176" t="s">
        <v>223</v>
      </c>
      <c r="R4">
        <f>INDEX(B5:I54,4,2)</f>
        <v>0.95399999999999996</v>
      </c>
    </row>
    <row r="5" spans="1:25">
      <c r="A5" s="133">
        <v>2</v>
      </c>
      <c r="B5" s="135">
        <v>0.99</v>
      </c>
      <c r="C5" s="136">
        <v>0.98699999999999999</v>
      </c>
      <c r="D5" s="137">
        <v>0.96499999999999997</v>
      </c>
      <c r="E5" s="135">
        <v>0.91</v>
      </c>
      <c r="F5" s="137">
        <v>0.81100000000000005</v>
      </c>
      <c r="G5" s="137">
        <v>0.66100000000000003</v>
      </c>
      <c r="H5" s="138">
        <v>0.46899999999999997</v>
      </c>
      <c r="I5" s="138">
        <v>0.245</v>
      </c>
      <c r="J5" s="340"/>
      <c r="K5" s="340"/>
      <c r="L5" s="340"/>
      <c r="M5" s="340"/>
      <c r="O5" t="s">
        <v>224</v>
      </c>
    </row>
    <row r="6" spans="1:25">
      <c r="A6" s="133">
        <v>4</v>
      </c>
      <c r="B6" s="137">
        <v>0.97899999999999998</v>
      </c>
      <c r="C6" s="137">
        <v>0.97599999999999998</v>
      </c>
      <c r="D6" s="137">
        <v>0.95499999999999996</v>
      </c>
      <c r="E6" s="137">
        <v>0.9</v>
      </c>
      <c r="F6" s="137">
        <v>0.80200000000000005</v>
      </c>
      <c r="G6" s="137">
        <v>0.65400000000000003</v>
      </c>
      <c r="H6" s="137">
        <v>0.46400000000000002</v>
      </c>
      <c r="I6" s="137">
        <v>0.24299999999999999</v>
      </c>
      <c r="J6" s="340"/>
      <c r="K6" s="340"/>
      <c r="L6" s="340"/>
      <c r="M6" s="340"/>
      <c r="O6" t="s">
        <v>225</v>
      </c>
    </row>
    <row r="7" spans="1:25">
      <c r="A7" s="133">
        <v>6</v>
      </c>
      <c r="B7" s="137">
        <v>0.96799999999999997</v>
      </c>
      <c r="C7" s="137">
        <v>0.96499999999999997</v>
      </c>
      <c r="D7" s="137">
        <v>0.94399999999999995</v>
      </c>
      <c r="E7" s="137">
        <v>0.89</v>
      </c>
      <c r="F7" s="137">
        <v>0.79300000000000004</v>
      </c>
      <c r="G7" s="137">
        <v>0.64700000000000002</v>
      </c>
      <c r="H7" s="137">
        <v>0.45900000000000002</v>
      </c>
      <c r="I7" s="137">
        <v>0.24</v>
      </c>
      <c r="J7" s="340"/>
      <c r="K7" s="340">
        <v>1</v>
      </c>
      <c r="L7" s="340" t="str">
        <f>casa!R14</f>
        <v>c</v>
      </c>
      <c r="M7" s="340"/>
      <c r="O7" t="s">
        <v>226</v>
      </c>
      <c r="V7" s="2" t="s">
        <v>260</v>
      </c>
    </row>
    <row r="8" spans="1:25">
      <c r="A8" s="133">
        <v>8</v>
      </c>
      <c r="B8" s="137">
        <v>0.95699999999999996</v>
      </c>
      <c r="C8" s="137">
        <v>0.95399999999999996</v>
      </c>
      <c r="D8" s="137">
        <v>0.93300000000000005</v>
      </c>
      <c r="E8" s="137">
        <v>0.879</v>
      </c>
      <c r="F8" s="137">
        <v>0.78400000000000003</v>
      </c>
      <c r="G8" s="137">
        <v>0.63900000000000001</v>
      </c>
      <c r="H8" s="137">
        <v>0.45400000000000001</v>
      </c>
      <c r="I8" s="137">
        <v>0.23699999999999999</v>
      </c>
      <c r="J8" s="340"/>
      <c r="K8" s="340"/>
      <c r="L8" s="342">
        <f>ROUND(casa!P14/casa!Q14,2)</f>
        <v>0.16</v>
      </c>
      <c r="M8" s="342"/>
      <c r="O8" t="s">
        <v>227</v>
      </c>
    </row>
    <row r="9" spans="1:25">
      <c r="A9" s="133">
        <v>10</v>
      </c>
      <c r="B9" s="137">
        <v>0.94499999999999995</v>
      </c>
      <c r="C9" s="137">
        <v>0.94199999999999995</v>
      </c>
      <c r="D9" s="137">
        <v>0.92100000000000004</v>
      </c>
      <c r="E9" s="137">
        <v>0.86899999999999999</v>
      </c>
      <c r="F9" s="137">
        <v>0.77400000000000002</v>
      </c>
      <c r="G9" s="137">
        <v>0.63100000000000001</v>
      </c>
      <c r="H9" s="137">
        <v>0.44800000000000001</v>
      </c>
      <c r="I9" s="137">
        <v>0.23400000000000001</v>
      </c>
      <c r="J9" s="340"/>
      <c r="K9" s="340">
        <v>2</v>
      </c>
      <c r="L9" s="340"/>
      <c r="M9" s="340"/>
      <c r="O9" s="2" t="s">
        <v>259</v>
      </c>
      <c r="V9" s="2" t="s">
        <v>264</v>
      </c>
      <c r="Y9" s="2"/>
    </row>
    <row r="10" spans="1:25">
      <c r="A10" s="133">
        <v>12</v>
      </c>
      <c r="B10" s="137">
        <v>0.93300000000000005</v>
      </c>
      <c r="C10" s="137">
        <v>0.93</v>
      </c>
      <c r="D10" s="137">
        <v>0.90900000000000003</v>
      </c>
      <c r="E10" s="137">
        <v>0.85699999999999998</v>
      </c>
      <c r="F10" s="137">
        <v>0.76400000000000001</v>
      </c>
      <c r="G10" s="137">
        <v>0.623</v>
      </c>
      <c r="H10" s="137">
        <v>0.442</v>
      </c>
      <c r="I10" s="137">
        <v>0.23100000000000001</v>
      </c>
      <c r="J10" s="340"/>
      <c r="K10" s="340"/>
      <c r="L10" s="340"/>
      <c r="M10" s="340"/>
      <c r="O10" t="s">
        <v>228</v>
      </c>
      <c r="V10" s="2" t="s">
        <v>204</v>
      </c>
      <c r="X10">
        <v>27</v>
      </c>
      <c r="Y10" s="2" t="s">
        <v>261</v>
      </c>
    </row>
    <row r="11" spans="1:25">
      <c r="A11" s="133">
        <v>14</v>
      </c>
      <c r="B11" s="137">
        <v>0.92</v>
      </c>
      <c r="C11" s="137">
        <v>0.91700000000000004</v>
      </c>
      <c r="D11" s="137">
        <v>0.89700000000000002</v>
      </c>
      <c r="E11" s="137">
        <v>0.84599999999999997</v>
      </c>
      <c r="F11" s="137">
        <v>0.754</v>
      </c>
      <c r="G11" s="137">
        <v>0.61499999999999999</v>
      </c>
      <c r="H11" s="137">
        <v>0.436</v>
      </c>
      <c r="I11" s="137">
        <v>0.22800000000000001</v>
      </c>
      <c r="J11" s="340"/>
      <c r="K11" s="340">
        <v>3</v>
      </c>
      <c r="L11" s="340"/>
      <c r="M11" s="340"/>
      <c r="O11" t="s">
        <v>209</v>
      </c>
      <c r="P11" t="s">
        <v>229</v>
      </c>
      <c r="V11" s="2" t="s">
        <v>262</v>
      </c>
      <c r="X11">
        <v>50</v>
      </c>
      <c r="Y11" s="2" t="s">
        <v>261</v>
      </c>
    </row>
    <row r="12" spans="1:25">
      <c r="A12" s="133">
        <v>16</v>
      </c>
      <c r="B12" s="137">
        <v>0.90700000000000003</v>
      </c>
      <c r="C12" s="137">
        <v>0.90400000000000003</v>
      </c>
      <c r="D12" s="137">
        <v>0.88400000000000001</v>
      </c>
      <c r="E12" s="137">
        <v>0.83399999999999996</v>
      </c>
      <c r="F12" s="137">
        <v>0.74299999999999999</v>
      </c>
      <c r="G12" s="137">
        <v>0.60599999999999998</v>
      </c>
      <c r="H12" s="137">
        <v>0.43</v>
      </c>
      <c r="I12" s="137">
        <v>0.22500000000000001</v>
      </c>
      <c r="J12" s="340"/>
      <c r="K12" s="340"/>
      <c r="L12" s="340"/>
      <c r="M12" s="340"/>
      <c r="O12" t="s">
        <v>210</v>
      </c>
      <c r="P12" t="s">
        <v>230</v>
      </c>
      <c r="V12" s="2" t="s">
        <v>263</v>
      </c>
      <c r="X12">
        <f>27/50</f>
        <v>0.54</v>
      </c>
    </row>
    <row r="13" spans="1:25">
      <c r="A13" s="133">
        <v>18</v>
      </c>
      <c r="B13" s="137">
        <v>0.89400000000000002</v>
      </c>
      <c r="C13" s="137">
        <v>0.89100000000000001</v>
      </c>
      <c r="D13" s="137">
        <v>0.871</v>
      </c>
      <c r="E13" s="137">
        <v>0.82099999999999995</v>
      </c>
      <c r="F13" s="137">
        <v>0.73199999999999998</v>
      </c>
      <c r="G13" s="137">
        <v>0.59699999999999998</v>
      </c>
      <c r="H13" s="137">
        <v>0.42399999999999999</v>
      </c>
      <c r="I13" s="137">
        <v>0.222</v>
      </c>
      <c r="J13" s="340"/>
      <c r="K13" s="340">
        <v>4</v>
      </c>
      <c r="L13" s="340"/>
      <c r="M13" s="340"/>
      <c r="O13" t="s">
        <v>211</v>
      </c>
      <c r="P13" t="s">
        <v>231</v>
      </c>
      <c r="V13" s="2" t="s">
        <v>265</v>
      </c>
    </row>
    <row r="14" spans="1:25">
      <c r="A14" s="133">
        <v>20</v>
      </c>
      <c r="B14" s="137">
        <v>0.88</v>
      </c>
      <c r="C14" s="137">
        <v>0.877</v>
      </c>
      <c r="D14" s="137">
        <v>0.85799999999999998</v>
      </c>
      <c r="E14" s="137">
        <v>0.80900000000000005</v>
      </c>
      <c r="F14" s="137">
        <v>0.72099999999999997</v>
      </c>
      <c r="G14" s="137">
        <v>0.58799999999999997</v>
      </c>
      <c r="H14" s="137">
        <v>0.41699999999999998</v>
      </c>
      <c r="I14" s="137">
        <v>0.218</v>
      </c>
      <c r="J14" s="340"/>
      <c r="K14" s="340"/>
      <c r="L14" s="340"/>
      <c r="M14" s="340"/>
      <c r="O14" t="s">
        <v>212</v>
      </c>
      <c r="P14" t="s">
        <v>232</v>
      </c>
      <c r="V14" s="2" t="s">
        <v>266</v>
      </c>
    </row>
    <row r="15" spans="1:25">
      <c r="A15" s="133">
        <v>22</v>
      </c>
      <c r="B15" s="137">
        <v>0.86599999999999999</v>
      </c>
      <c r="C15" s="137">
        <v>0.86299999999999999</v>
      </c>
      <c r="D15" s="137">
        <v>0.84399999999999997</v>
      </c>
      <c r="E15" s="137">
        <v>0.79600000000000004</v>
      </c>
      <c r="F15" s="137">
        <v>0.70899999999999996</v>
      </c>
      <c r="G15" s="137">
        <v>578</v>
      </c>
      <c r="H15" s="137">
        <v>0.41</v>
      </c>
      <c r="I15" s="137">
        <v>0.215</v>
      </c>
      <c r="J15" s="340"/>
      <c r="K15" s="340">
        <v>5</v>
      </c>
      <c r="L15" s="340"/>
      <c r="M15" s="340"/>
      <c r="O15" t="s">
        <v>213</v>
      </c>
      <c r="P15" t="s">
        <v>233</v>
      </c>
    </row>
    <row r="16" spans="1:25">
      <c r="A16" s="133">
        <v>24</v>
      </c>
      <c r="B16" s="137">
        <v>0.85099999999999998</v>
      </c>
      <c r="C16" s="137">
        <v>0.84799999999999998</v>
      </c>
      <c r="D16" s="137">
        <v>0.83</v>
      </c>
      <c r="E16" s="137">
        <v>0.78200000000000003</v>
      </c>
      <c r="F16" s="137">
        <v>0.69699999999999995</v>
      </c>
      <c r="G16" s="137">
        <v>0.56899999999999995</v>
      </c>
      <c r="H16" s="137">
        <v>0.40300000000000002</v>
      </c>
      <c r="I16" s="137">
        <v>0.21099999999999999</v>
      </c>
      <c r="J16" s="340"/>
      <c r="K16" s="340"/>
      <c r="L16" s="340"/>
      <c r="M16" s="340"/>
      <c r="O16" t="s">
        <v>214</v>
      </c>
      <c r="P16" t="s">
        <v>234</v>
      </c>
      <c r="V16" s="2" t="s">
        <v>267</v>
      </c>
    </row>
    <row r="17" spans="1:22">
      <c r="A17" s="133">
        <v>26</v>
      </c>
      <c r="B17" s="137">
        <v>0.83599999999999997</v>
      </c>
      <c r="C17" s="137">
        <v>0.83399999999999996</v>
      </c>
      <c r="D17" s="137">
        <v>0.81499999999999995</v>
      </c>
      <c r="E17" s="137">
        <v>0.76900000000000002</v>
      </c>
      <c r="F17" s="137">
        <v>0.68500000000000005</v>
      </c>
      <c r="G17" s="137">
        <v>0.55900000000000005</v>
      </c>
      <c r="H17" s="137">
        <v>0.39600000000000002</v>
      </c>
      <c r="I17" s="137">
        <v>0.20699999999999999</v>
      </c>
      <c r="J17" s="340"/>
      <c r="K17" s="340"/>
      <c r="L17" s="340"/>
      <c r="M17" s="340"/>
      <c r="O17" t="s">
        <v>215</v>
      </c>
      <c r="P17" t="s">
        <v>235</v>
      </c>
      <c r="V17" s="2" t="s">
        <v>268</v>
      </c>
    </row>
    <row r="18" spans="1:22">
      <c r="A18" s="133">
        <v>28</v>
      </c>
      <c r="B18" s="137">
        <v>0.82099999999999995</v>
      </c>
      <c r="C18" s="137">
        <v>0.81799999999999995</v>
      </c>
      <c r="D18" s="137">
        <v>0.8</v>
      </c>
      <c r="E18" s="137">
        <v>0.754</v>
      </c>
      <c r="F18" s="137">
        <v>0.67200000000000004</v>
      </c>
      <c r="G18" s="137">
        <v>0.54800000000000004</v>
      </c>
      <c r="H18" s="137">
        <v>0.38900000000000001</v>
      </c>
      <c r="I18" s="137">
        <v>0.20399999999999999</v>
      </c>
      <c r="J18" s="340"/>
      <c r="K18" s="340"/>
      <c r="L18" s="340"/>
      <c r="M18" s="340"/>
      <c r="O18" t="s">
        <v>216</v>
      </c>
      <c r="P18" t="s">
        <v>236</v>
      </c>
    </row>
    <row r="19" spans="1:22">
      <c r="A19" s="133">
        <v>30</v>
      </c>
      <c r="B19" s="137">
        <v>0.80500000000000005</v>
      </c>
      <c r="C19" s="137">
        <v>0.80200000000000005</v>
      </c>
      <c r="D19" s="137">
        <v>0.78500000000000003</v>
      </c>
      <c r="E19" s="137">
        <v>0.74</v>
      </c>
      <c r="F19" s="137">
        <v>0.65900000000000003</v>
      </c>
      <c r="G19" s="137">
        <v>0.53800000000000003</v>
      </c>
      <c r="H19" s="137">
        <v>0.38200000000000001</v>
      </c>
      <c r="I19" s="137">
        <v>0.2</v>
      </c>
      <c r="J19" s="340"/>
      <c r="K19" s="340"/>
      <c r="L19" s="340"/>
      <c r="M19" s="340"/>
      <c r="O19" t="s">
        <v>237</v>
      </c>
      <c r="P19" t="s">
        <v>238</v>
      </c>
      <c r="V19" s="2" t="s">
        <v>269</v>
      </c>
    </row>
    <row r="20" spans="1:22">
      <c r="A20" s="133">
        <v>32</v>
      </c>
      <c r="B20" s="137">
        <v>0.78900000000000003</v>
      </c>
      <c r="C20" s="137">
        <v>0.78600000000000003</v>
      </c>
      <c r="D20" s="137">
        <v>0.76900000000000002</v>
      </c>
      <c r="E20" s="137">
        <v>0.72499999999999998</v>
      </c>
      <c r="F20" s="137">
        <v>0.64600000000000002</v>
      </c>
      <c r="G20" s="137">
        <v>0.52700000000000002</v>
      </c>
      <c r="H20" s="137">
        <v>0.374</v>
      </c>
      <c r="I20" s="137">
        <v>0.19600000000000001</v>
      </c>
      <c r="J20" s="340"/>
      <c r="K20" s="340"/>
      <c r="L20" s="340"/>
      <c r="M20" s="340"/>
    </row>
    <row r="21" spans="1:22">
      <c r="A21" s="133">
        <v>34</v>
      </c>
      <c r="B21" s="137">
        <v>0.77200000000000002</v>
      </c>
      <c r="C21" s="137">
        <v>0.77</v>
      </c>
      <c r="D21" s="137">
        <v>0.753</v>
      </c>
      <c r="E21" s="137">
        <v>0.71</v>
      </c>
      <c r="F21" s="137">
        <v>0.63200000000000001</v>
      </c>
      <c r="G21" s="137">
        <v>0.51600000000000001</v>
      </c>
      <c r="H21" s="137">
        <v>0.36599999999999999</v>
      </c>
      <c r="I21" s="137">
        <v>0.192</v>
      </c>
      <c r="J21" s="340"/>
      <c r="K21" s="340"/>
      <c r="L21" s="340"/>
      <c r="M21" s="340"/>
    </row>
    <row r="22" spans="1:22">
      <c r="A22" s="133">
        <v>36</v>
      </c>
      <c r="B22" s="137">
        <v>0.755</v>
      </c>
      <c r="C22" s="137">
        <v>0.753</v>
      </c>
      <c r="D22" s="137">
        <v>0.73599999999999999</v>
      </c>
      <c r="E22" s="137">
        <v>0.69399999999999995</v>
      </c>
      <c r="F22" s="137">
        <v>0.61899999999999999</v>
      </c>
      <c r="G22" s="137">
        <v>0.504</v>
      </c>
      <c r="H22" s="137">
        <v>0.35799999999999998</v>
      </c>
      <c r="I22" s="137">
        <v>0.187</v>
      </c>
      <c r="J22" s="340"/>
      <c r="K22" s="340"/>
      <c r="L22" s="340"/>
      <c r="M22" s="340"/>
      <c r="O22" t="s">
        <v>239</v>
      </c>
    </row>
    <row r="23" spans="1:22">
      <c r="A23" s="133">
        <v>38</v>
      </c>
      <c r="B23" s="137">
        <v>0.73799999999999999</v>
      </c>
      <c r="C23" s="137">
        <v>0.73499999999999999</v>
      </c>
      <c r="D23" s="137">
        <v>0.71899999999999997</v>
      </c>
      <c r="E23" s="137">
        <v>0.67800000000000005</v>
      </c>
      <c r="F23" s="137">
        <v>0.60399999999999998</v>
      </c>
      <c r="G23" s="137">
        <v>0.49299999999999999</v>
      </c>
      <c r="H23" s="137">
        <v>0.35</v>
      </c>
      <c r="I23" s="137">
        <v>0.183</v>
      </c>
      <c r="J23" s="340" t="e">
        <f>CORRE</f>
        <v>#NAME?</v>
      </c>
      <c r="K23" s="340"/>
      <c r="L23" s="340"/>
      <c r="M23" s="340"/>
    </row>
    <row r="24" spans="1:22">
      <c r="A24" s="133">
        <v>40</v>
      </c>
      <c r="B24" s="137">
        <v>0.72</v>
      </c>
      <c r="C24" s="137">
        <v>0.71799999999999997</v>
      </c>
      <c r="D24" s="137">
        <v>0.70199999999999996</v>
      </c>
      <c r="E24" s="137">
        <v>0.66200000000000003</v>
      </c>
      <c r="F24" s="137">
        <v>0.59</v>
      </c>
      <c r="G24" s="137">
        <v>0.48099999999999998</v>
      </c>
      <c r="H24" s="137">
        <v>0.34100000000000003</v>
      </c>
      <c r="I24" s="137">
        <v>0.17899999999999999</v>
      </c>
      <c r="J24" s="340"/>
      <c r="K24" s="340"/>
      <c r="L24" s="340"/>
      <c r="M24" s="340"/>
      <c r="O24" s="177" t="s">
        <v>240</v>
      </c>
      <c r="P24" s="177" t="s">
        <v>241</v>
      </c>
      <c r="Q24" s="178" t="s">
        <v>242</v>
      </c>
      <c r="R24" s="179"/>
      <c r="S24" s="178" t="s">
        <v>243</v>
      </c>
      <c r="T24" s="179"/>
    </row>
    <row r="25" spans="1:22">
      <c r="A25" s="133">
        <v>42</v>
      </c>
      <c r="B25" s="137">
        <v>0.70199999999999996</v>
      </c>
      <c r="C25" s="137">
        <v>0.7</v>
      </c>
      <c r="D25" s="137">
        <v>0.68400000000000005</v>
      </c>
      <c r="E25" s="137">
        <v>0.45</v>
      </c>
      <c r="F25" s="137">
        <v>0.57499999999999996</v>
      </c>
      <c r="G25" s="137">
        <v>0.46899999999999997</v>
      </c>
      <c r="H25" s="137">
        <v>0.33300000000000002</v>
      </c>
      <c r="I25" s="137">
        <v>0.17399999999999999</v>
      </c>
      <c r="J25" s="340"/>
      <c r="K25" s="340"/>
      <c r="L25" s="340"/>
      <c r="M25" s="340"/>
    </row>
    <row r="26" spans="1:22">
      <c r="A26" s="133">
        <v>44</v>
      </c>
      <c r="B26" s="137">
        <v>0.68300000000000005</v>
      </c>
      <c r="C26" s="137">
        <v>0.68100000000000005</v>
      </c>
      <c r="D26" s="137">
        <v>0.66600000000000004</v>
      </c>
      <c r="E26" s="137">
        <v>0.628</v>
      </c>
      <c r="F26" s="137">
        <v>0.56000000000000005</v>
      </c>
      <c r="G26" s="137">
        <v>0.45600000000000002</v>
      </c>
      <c r="H26" s="137">
        <v>0.32400000000000001</v>
      </c>
      <c r="I26" s="137">
        <v>0.16900000000000001</v>
      </c>
      <c r="J26" s="340"/>
      <c r="K26" s="340"/>
      <c r="L26" s="340"/>
      <c r="M26" s="340"/>
      <c r="O26" s="180" t="s">
        <v>244</v>
      </c>
      <c r="P26" s="177" t="s">
        <v>245</v>
      </c>
      <c r="Q26" s="177">
        <v>0</v>
      </c>
      <c r="R26" s="181"/>
      <c r="S26" s="177">
        <v>0</v>
      </c>
    </row>
    <row r="27" spans="1:22">
      <c r="A27" s="133">
        <v>46</v>
      </c>
      <c r="B27" s="137">
        <v>0.66400000000000003</v>
      </c>
      <c r="C27" s="137">
        <v>0.66200000000000003</v>
      </c>
      <c r="D27" s="137">
        <v>0.64700000000000002</v>
      </c>
      <c r="E27" s="137">
        <v>0.61</v>
      </c>
      <c r="F27" s="137">
        <v>0.54400000000000004</v>
      </c>
      <c r="G27" s="137">
        <v>0.44400000000000001</v>
      </c>
      <c r="H27" s="137">
        <v>0.315</v>
      </c>
      <c r="I27" s="137">
        <v>0.16500000000000001</v>
      </c>
      <c r="J27" s="340"/>
      <c r="K27" s="340"/>
      <c r="L27" s="340"/>
      <c r="M27" s="340"/>
      <c r="O27" s="182"/>
      <c r="P27" s="177" t="s">
        <v>246</v>
      </c>
      <c r="Q27" s="177">
        <v>10</v>
      </c>
      <c r="R27" s="183"/>
      <c r="S27" s="177">
        <v>0</v>
      </c>
    </row>
    <row r="28" spans="1:22">
      <c r="A28" s="133">
        <v>48</v>
      </c>
      <c r="B28" s="137">
        <v>0.64500000000000002</v>
      </c>
      <c r="C28" s="137">
        <v>0.64300000000000002</v>
      </c>
      <c r="D28" s="137">
        <v>0.629</v>
      </c>
      <c r="E28" s="137">
        <v>0.59299999999999997</v>
      </c>
      <c r="F28" s="137">
        <v>0.52800000000000002</v>
      </c>
      <c r="G28" s="137">
        <v>0.43099999999999999</v>
      </c>
      <c r="H28" s="137">
        <v>0.30499999999999999</v>
      </c>
      <c r="I28" s="137">
        <v>0.16</v>
      </c>
      <c r="J28" s="340"/>
      <c r="K28" s="340"/>
      <c r="L28" s="340"/>
      <c r="M28" s="340"/>
    </row>
    <row r="29" spans="1:22">
      <c r="A29" s="133">
        <v>50</v>
      </c>
      <c r="B29" s="137">
        <v>0.625</v>
      </c>
      <c r="C29" s="137">
        <v>0.623</v>
      </c>
      <c r="D29" s="137">
        <v>0.60899999999999999</v>
      </c>
      <c r="E29" s="137">
        <v>0.57399999999999995</v>
      </c>
      <c r="F29" s="137">
        <v>0.51200000000000001</v>
      </c>
      <c r="G29" s="137">
        <v>0.41799999999999998</v>
      </c>
      <c r="H29" s="137">
        <v>0.29599999999999999</v>
      </c>
      <c r="I29" s="137">
        <v>0.155</v>
      </c>
      <c r="J29" s="340"/>
      <c r="K29" s="340"/>
      <c r="L29" s="340"/>
      <c r="M29" s="340"/>
      <c r="O29" s="180" t="s">
        <v>247</v>
      </c>
      <c r="P29" s="177" t="s">
        <v>245</v>
      </c>
      <c r="Q29" s="177">
        <v>60</v>
      </c>
      <c r="R29" s="181"/>
      <c r="S29" s="177">
        <v>20</v>
      </c>
    </row>
    <row r="30" spans="1:22">
      <c r="A30" s="133">
        <v>52</v>
      </c>
      <c r="B30" s="134">
        <v>0.60499999999999998</v>
      </c>
      <c r="C30" s="134">
        <v>0.60299999999999998</v>
      </c>
      <c r="D30" s="134">
        <v>0.59</v>
      </c>
      <c r="E30" s="134">
        <v>0.55600000000000005</v>
      </c>
      <c r="F30" s="134">
        <v>0.495</v>
      </c>
      <c r="G30" s="134">
        <v>0.40400000000000003</v>
      </c>
      <c r="H30" s="134">
        <v>0.28699999999999998</v>
      </c>
      <c r="I30" s="134">
        <v>0.15</v>
      </c>
      <c r="J30" s="341"/>
      <c r="K30" s="341"/>
      <c r="L30" s="341"/>
      <c r="M30" s="341"/>
      <c r="O30" s="184"/>
      <c r="P30" s="177" t="s">
        <v>248</v>
      </c>
      <c r="Q30" s="177">
        <v>60</v>
      </c>
      <c r="R30" s="1"/>
      <c r="S30" s="177">
        <v>20</v>
      </c>
    </row>
    <row r="31" spans="1:22">
      <c r="A31" s="133">
        <v>54</v>
      </c>
      <c r="B31" s="134">
        <v>0.58399999999999996</v>
      </c>
      <c r="C31" s="134">
        <v>0.58199999999999996</v>
      </c>
      <c r="D31" s="134">
        <v>0.56899999999999995</v>
      </c>
      <c r="E31" s="134">
        <v>0.53700000000000003</v>
      </c>
      <c r="F31" s="134">
        <v>0.47799999999999998</v>
      </c>
      <c r="G31" s="134">
        <v>0.39</v>
      </c>
      <c r="H31" s="134">
        <v>0.27700000000000002</v>
      </c>
      <c r="I31" s="134">
        <v>0.14499999999999999</v>
      </c>
      <c r="J31" s="341"/>
      <c r="K31" s="341"/>
      <c r="L31" s="341"/>
      <c r="M31" s="341"/>
      <c r="O31" s="184"/>
      <c r="P31" s="177" t="s">
        <v>249</v>
      </c>
      <c r="Q31" s="177">
        <v>70</v>
      </c>
      <c r="R31" s="1"/>
      <c r="S31" s="177">
        <v>20</v>
      </c>
    </row>
    <row r="32" spans="1:22">
      <c r="A32" s="133">
        <v>56</v>
      </c>
      <c r="B32" s="134">
        <v>0.56299999999999994</v>
      </c>
      <c r="C32" s="134">
        <v>0.56100000000000005</v>
      </c>
      <c r="D32" s="134">
        <v>0.54900000000000004</v>
      </c>
      <c r="E32" s="134">
        <v>0.51800000000000002</v>
      </c>
      <c r="F32" s="134">
        <v>0.46100000000000002</v>
      </c>
      <c r="G32" s="134">
        <v>0.376</v>
      </c>
      <c r="H32" s="134">
        <v>0.26700000000000002</v>
      </c>
      <c r="I32" s="134">
        <v>0.14000000000000001</v>
      </c>
      <c r="J32" s="341"/>
      <c r="K32" s="341"/>
      <c r="L32" s="341"/>
      <c r="M32" s="341"/>
      <c r="O32" s="184"/>
      <c r="P32" s="177" t="s">
        <v>246</v>
      </c>
      <c r="Q32" s="177">
        <v>70</v>
      </c>
      <c r="R32" s="1"/>
      <c r="S32" s="177">
        <v>20</v>
      </c>
    </row>
    <row r="33" spans="1:19">
      <c r="A33" s="133">
        <v>58</v>
      </c>
      <c r="B33" s="134">
        <v>0.54200000000000004</v>
      </c>
      <c r="C33" s="134">
        <v>0.54</v>
      </c>
      <c r="D33" s="134">
        <v>0.52800000000000002</v>
      </c>
      <c r="E33" s="134">
        <v>0.498</v>
      </c>
      <c r="F33" s="134">
        <v>0.44400000000000001</v>
      </c>
      <c r="G33" s="134">
        <v>0.36199999999999999</v>
      </c>
      <c r="H33" s="134">
        <v>0.25700000000000001</v>
      </c>
      <c r="I33" s="134">
        <v>0.13400000000000001</v>
      </c>
      <c r="J33" s="341"/>
      <c r="K33" s="341"/>
      <c r="L33" s="341"/>
      <c r="M33" s="341"/>
      <c r="O33" s="184"/>
      <c r="P33" s="177" t="s">
        <v>250</v>
      </c>
      <c r="Q33" s="177">
        <v>70</v>
      </c>
      <c r="R33" s="1"/>
      <c r="S33" s="177">
        <v>20</v>
      </c>
    </row>
    <row r="34" spans="1:19">
      <c r="A34" s="133">
        <v>60</v>
      </c>
      <c r="B34" s="134">
        <v>0.52</v>
      </c>
      <c r="C34" s="134">
        <v>0.51800000000000002</v>
      </c>
      <c r="D34" s="134">
        <v>0.50700000000000001</v>
      </c>
      <c r="E34" s="134">
        <v>0.47799999999999998</v>
      </c>
      <c r="F34" s="134">
        <v>0.42599999999999999</v>
      </c>
      <c r="G34" s="134">
        <v>0.34699999999999998</v>
      </c>
      <c r="H34" s="134">
        <v>0.246</v>
      </c>
      <c r="I34" s="134">
        <v>0.129</v>
      </c>
      <c r="J34" s="341"/>
      <c r="K34" s="341"/>
      <c r="L34" s="341"/>
      <c r="M34" s="341"/>
      <c r="O34" s="184"/>
      <c r="P34" s="177" t="s">
        <v>251</v>
      </c>
      <c r="Q34" s="177">
        <v>70</v>
      </c>
      <c r="R34" s="1"/>
      <c r="S34" s="177">
        <v>20</v>
      </c>
    </row>
    <row r="35" spans="1:19">
      <c r="A35" s="133">
        <v>62</v>
      </c>
      <c r="B35" s="134">
        <v>0.498</v>
      </c>
      <c r="C35" s="134">
        <v>0.496</v>
      </c>
      <c r="D35" s="134">
        <v>0.48499999999999999</v>
      </c>
      <c r="E35" s="134">
        <v>0.45800000000000002</v>
      </c>
      <c r="F35" s="134">
        <v>0.40799999999999997</v>
      </c>
      <c r="G35" s="134">
        <v>0.33300000000000002</v>
      </c>
      <c r="H35" s="134">
        <v>0.23599999999999999</v>
      </c>
      <c r="I35" s="134">
        <v>0.123</v>
      </c>
      <c r="J35" s="341"/>
      <c r="K35" s="341"/>
      <c r="L35" s="341"/>
      <c r="M35" s="341"/>
      <c r="O35" s="184"/>
      <c r="P35" s="177" t="s">
        <v>252</v>
      </c>
      <c r="Q35" s="177">
        <v>60</v>
      </c>
      <c r="R35" s="1"/>
      <c r="S35" s="177">
        <v>20</v>
      </c>
    </row>
    <row r="36" spans="1:19">
      <c r="A36" s="133">
        <v>64</v>
      </c>
      <c r="B36" s="134">
        <v>0.47499999999999998</v>
      </c>
      <c r="C36" s="134">
        <v>0.47399999999999998</v>
      </c>
      <c r="D36" s="134">
        <v>0.46300000000000002</v>
      </c>
      <c r="E36" s="134">
        <v>0.437</v>
      </c>
      <c r="F36" s="134">
        <v>0.38900000000000001</v>
      </c>
      <c r="G36" s="134">
        <v>0.317</v>
      </c>
      <c r="H36" s="134">
        <v>0.22500000000000001</v>
      </c>
      <c r="I36" s="134">
        <v>0.11799999999999999</v>
      </c>
      <c r="J36" s="341"/>
      <c r="K36" s="341"/>
      <c r="L36" s="341"/>
      <c r="M36" s="341"/>
      <c r="O36" s="182"/>
      <c r="P36" s="177" t="s">
        <v>253</v>
      </c>
      <c r="Q36" s="177">
        <v>60</v>
      </c>
      <c r="R36" s="183"/>
      <c r="S36" s="177">
        <v>20</v>
      </c>
    </row>
    <row r="37" spans="1:19">
      <c r="A37" s="133">
        <v>66</v>
      </c>
      <c r="B37" s="134">
        <v>0.45200000000000001</v>
      </c>
      <c r="C37" s="134">
        <v>0.45100000000000001</v>
      </c>
      <c r="D37" s="134">
        <v>0.441</v>
      </c>
      <c r="E37" s="134">
        <v>0.41599999999999998</v>
      </c>
      <c r="F37" s="134">
        <v>0.37</v>
      </c>
      <c r="G37" s="134">
        <v>0.30199999999999999</v>
      </c>
      <c r="H37" s="134">
        <v>0.214</v>
      </c>
      <c r="I37" s="134">
        <v>0.112</v>
      </c>
      <c r="J37" s="341"/>
      <c r="K37" s="341"/>
      <c r="L37" s="341"/>
      <c r="M37" s="341"/>
    </row>
    <row r="38" spans="1:19">
      <c r="A38" s="133">
        <v>68</v>
      </c>
      <c r="B38" s="134">
        <v>0.42899999999999999</v>
      </c>
      <c r="C38" s="134">
        <v>0.42699999999999999</v>
      </c>
      <c r="D38" s="134">
        <v>0.41799999999999998</v>
      </c>
      <c r="E38" s="134">
        <v>0.39400000000000002</v>
      </c>
      <c r="F38" s="134">
        <v>0.35099999999999998</v>
      </c>
      <c r="G38" s="134">
        <v>0.28599999999999998</v>
      </c>
      <c r="H38" s="134">
        <v>0.20300000000000001</v>
      </c>
      <c r="I38" s="134">
        <v>0.106</v>
      </c>
      <c r="J38" s="341"/>
      <c r="K38" s="341"/>
      <c r="L38" s="341"/>
      <c r="M38" s="341"/>
      <c r="O38" s="180" t="s">
        <v>254</v>
      </c>
      <c r="P38" s="177" t="s">
        <v>249</v>
      </c>
      <c r="Q38" s="177">
        <v>60</v>
      </c>
      <c r="R38" s="181"/>
      <c r="S38" s="177">
        <v>20</v>
      </c>
    </row>
    <row r="39" spans="1:19">
      <c r="A39" s="133">
        <v>70</v>
      </c>
      <c r="B39" s="134">
        <v>0.40500000000000003</v>
      </c>
      <c r="C39" s="134">
        <v>0.40400000000000003</v>
      </c>
      <c r="D39" s="134">
        <v>0.39500000000000002</v>
      </c>
      <c r="E39" s="134">
        <v>0.372</v>
      </c>
      <c r="F39" s="134">
        <v>0.33200000000000002</v>
      </c>
      <c r="G39" s="134">
        <v>0.27100000000000002</v>
      </c>
      <c r="H39" s="134">
        <v>0.192</v>
      </c>
      <c r="I39" s="134">
        <v>0.1</v>
      </c>
      <c r="J39" s="341"/>
      <c r="K39" s="341"/>
      <c r="L39" s="341"/>
      <c r="M39" s="341"/>
      <c r="O39" s="184"/>
      <c r="P39" s="177" t="s">
        <v>246</v>
      </c>
      <c r="Q39" s="177">
        <v>60</v>
      </c>
      <c r="R39" s="1"/>
      <c r="S39" s="177">
        <v>20</v>
      </c>
    </row>
    <row r="40" spans="1:19">
      <c r="A40" s="133">
        <v>72</v>
      </c>
      <c r="B40" s="134">
        <v>0.38100000000000001</v>
      </c>
      <c r="C40" s="134">
        <v>0.38</v>
      </c>
      <c r="D40" s="134">
        <v>0.371</v>
      </c>
      <c r="E40" s="134">
        <v>0.35</v>
      </c>
      <c r="F40" s="134">
        <v>0.312</v>
      </c>
      <c r="G40" s="134">
        <v>0.254</v>
      </c>
      <c r="H40" s="139">
        <v>0.18</v>
      </c>
      <c r="I40" s="134">
        <v>9.4E-2</v>
      </c>
      <c r="J40" s="341"/>
      <c r="K40" s="341"/>
      <c r="L40" s="341"/>
      <c r="M40" s="341"/>
      <c r="O40" s="184"/>
      <c r="P40" s="177" t="s">
        <v>250</v>
      </c>
      <c r="Q40" s="177">
        <v>60</v>
      </c>
      <c r="R40" s="1"/>
      <c r="S40" s="177">
        <v>20</v>
      </c>
    </row>
    <row r="41" spans="1:19">
      <c r="A41" s="133">
        <v>74</v>
      </c>
      <c r="B41" s="134">
        <v>0.35599999999999998</v>
      </c>
      <c r="C41" s="134">
        <v>0.35499999999999998</v>
      </c>
      <c r="D41" s="134">
        <v>0.34699999999999998</v>
      </c>
      <c r="E41" s="134">
        <v>0.32700000000000001</v>
      </c>
      <c r="F41" s="134">
        <v>0.29199999999999998</v>
      </c>
      <c r="G41" s="134">
        <v>0.23799999999999999</v>
      </c>
      <c r="H41" s="134">
        <v>0.16900000000000001</v>
      </c>
      <c r="I41" s="134">
        <v>8.7999999999999995E-2</v>
      </c>
      <c r="J41" s="341"/>
      <c r="K41" s="341"/>
      <c r="L41" s="341"/>
      <c r="M41" s="341"/>
      <c r="O41" s="184"/>
      <c r="P41" s="177" t="s">
        <v>251</v>
      </c>
      <c r="Q41" s="177">
        <v>60</v>
      </c>
      <c r="R41" s="1"/>
      <c r="S41" s="177">
        <v>20</v>
      </c>
    </row>
    <row r="42" spans="1:19">
      <c r="A42" s="133">
        <v>76</v>
      </c>
      <c r="B42" s="134">
        <v>0.33100000000000002</v>
      </c>
      <c r="C42" s="134">
        <v>0.33</v>
      </c>
      <c r="D42" s="134">
        <v>0.32300000000000001</v>
      </c>
      <c r="E42" s="134">
        <v>0.30399999999999999</v>
      </c>
      <c r="F42" s="134">
        <v>0.27100000000000002</v>
      </c>
      <c r="G42" s="134">
        <v>0.221</v>
      </c>
      <c r="H42" s="134">
        <v>0.157</v>
      </c>
      <c r="I42" s="134">
        <v>8.2000000000000003E-2</v>
      </c>
      <c r="J42" s="341"/>
      <c r="K42" s="341"/>
      <c r="L42" s="341"/>
      <c r="M42" s="341"/>
      <c r="O42" s="184"/>
      <c r="P42" s="177" t="s">
        <v>252</v>
      </c>
      <c r="Q42" s="177">
        <v>50</v>
      </c>
      <c r="R42" s="1"/>
      <c r="S42" s="177">
        <v>20</v>
      </c>
    </row>
    <row r="43" spans="1:19">
      <c r="A43" s="133">
        <v>78</v>
      </c>
      <c r="B43" s="134">
        <v>0.30599999999999999</v>
      </c>
      <c r="C43" s="134">
        <v>0.30499999999999999</v>
      </c>
      <c r="D43" s="134">
        <v>0.29799999999999999</v>
      </c>
      <c r="E43" s="134">
        <v>0.28100000000000003</v>
      </c>
      <c r="F43" s="134">
        <v>0.25</v>
      </c>
      <c r="G43" s="134">
        <v>0.20399999999999999</v>
      </c>
      <c r="H43" s="134">
        <v>0.14499999999999999</v>
      </c>
      <c r="I43" s="134">
        <v>7.5999999999999998E-2</v>
      </c>
      <c r="J43" s="341"/>
      <c r="K43" s="341"/>
      <c r="L43" s="341"/>
      <c r="M43" s="341"/>
      <c r="O43" s="182"/>
      <c r="P43" s="177" t="s">
        <v>253</v>
      </c>
      <c r="Q43" s="177">
        <v>50</v>
      </c>
      <c r="R43" s="183"/>
      <c r="S43" s="177">
        <v>20</v>
      </c>
    </row>
    <row r="44" spans="1:19">
      <c r="A44" s="133">
        <v>80</v>
      </c>
      <c r="B44" s="134">
        <v>0.28000000000000003</v>
      </c>
      <c r="C44" s="134">
        <v>0.27900000000000003</v>
      </c>
      <c r="D44" s="134">
        <v>0.27300000000000002</v>
      </c>
      <c r="E44" s="134">
        <v>0.25700000000000001</v>
      </c>
      <c r="F44" s="134">
        <v>0.22900000000000001</v>
      </c>
      <c r="G44" s="134">
        <v>0.187</v>
      </c>
      <c r="H44" s="134">
        <v>0.13300000000000001</v>
      </c>
      <c r="I44" s="134">
        <v>6.9000000000000006E-2</v>
      </c>
      <c r="J44" s="341"/>
      <c r="K44" s="341"/>
      <c r="L44" s="341"/>
      <c r="M44" s="341"/>
    </row>
    <row r="45" spans="1:19">
      <c r="A45" s="133">
        <v>82</v>
      </c>
      <c r="B45" s="134">
        <v>0.254</v>
      </c>
      <c r="C45" s="134">
        <v>0.253</v>
      </c>
      <c r="D45" s="134">
        <v>0.247</v>
      </c>
      <c r="E45" s="134">
        <v>0.23300000000000001</v>
      </c>
      <c r="F45" s="134">
        <v>0.20799999999999999</v>
      </c>
      <c r="G45" s="134">
        <v>0.17</v>
      </c>
      <c r="H45" s="134">
        <v>0.12</v>
      </c>
      <c r="I45" s="134">
        <v>6.3E-2</v>
      </c>
      <c r="J45" s="341"/>
      <c r="K45" s="341"/>
      <c r="L45" s="341"/>
      <c r="M45" s="341"/>
      <c r="O45" s="180" t="s">
        <v>112</v>
      </c>
      <c r="P45" s="177" t="s">
        <v>249</v>
      </c>
      <c r="Q45" s="177">
        <v>70</v>
      </c>
      <c r="R45" s="181"/>
      <c r="S45" s="177">
        <v>20</v>
      </c>
    </row>
    <row r="46" spans="1:19">
      <c r="A46" s="133">
        <v>84</v>
      </c>
      <c r="B46" s="134">
        <v>0.22700000000000001</v>
      </c>
      <c r="C46" s="134">
        <v>0.22600000000000001</v>
      </c>
      <c r="D46" s="134">
        <v>0.221</v>
      </c>
      <c r="E46" s="134">
        <v>0.20899999999999999</v>
      </c>
      <c r="F46" s="134">
        <v>0.186</v>
      </c>
      <c r="G46" s="134">
        <v>0.152</v>
      </c>
      <c r="H46" s="134">
        <v>0.108</v>
      </c>
      <c r="I46" s="134">
        <v>5.6000000000000001E-2</v>
      </c>
      <c r="J46" s="341"/>
      <c r="K46" s="341"/>
      <c r="L46" s="341"/>
      <c r="M46" s="341"/>
      <c r="O46" s="184"/>
      <c r="P46" s="177" t="s">
        <v>246</v>
      </c>
      <c r="Q46" s="177">
        <v>70</v>
      </c>
      <c r="R46" s="1"/>
      <c r="S46" s="177">
        <v>20</v>
      </c>
    </row>
    <row r="47" spans="1:19">
      <c r="A47" s="133">
        <v>86</v>
      </c>
      <c r="B47" s="134">
        <v>0.2</v>
      </c>
      <c r="C47" s="134">
        <v>0.2</v>
      </c>
      <c r="D47" s="134">
        <v>0.19500000000000001</v>
      </c>
      <c r="E47" s="134">
        <v>0.184</v>
      </c>
      <c r="F47" s="134">
        <v>0.16400000000000001</v>
      </c>
      <c r="G47" s="134">
        <v>0.13400000000000001</v>
      </c>
      <c r="H47" s="134">
        <v>9.5000000000000001E-2</v>
      </c>
      <c r="I47" s="134">
        <v>0.05</v>
      </c>
      <c r="J47" s="341"/>
      <c r="K47" s="341"/>
      <c r="L47" s="341"/>
      <c r="M47" s="341"/>
      <c r="O47" s="184"/>
      <c r="P47" s="177" t="s">
        <v>250</v>
      </c>
      <c r="Q47" s="177">
        <v>60</v>
      </c>
      <c r="R47" s="1"/>
      <c r="S47" s="177">
        <v>20</v>
      </c>
    </row>
    <row r="48" spans="1:19">
      <c r="A48" s="133">
        <v>88</v>
      </c>
      <c r="B48" s="134">
        <v>0.17299999999999999</v>
      </c>
      <c r="C48" s="134">
        <v>0.17199999999999999</v>
      </c>
      <c r="D48" s="134">
        <v>0.16800000000000001</v>
      </c>
      <c r="E48" s="134">
        <v>0.159</v>
      </c>
      <c r="F48" s="134">
        <v>0.14199999999999999</v>
      </c>
      <c r="G48" s="134">
        <v>0.115</v>
      </c>
      <c r="H48" s="134">
        <v>8.2000000000000003E-2</v>
      </c>
      <c r="I48" s="134">
        <v>4.2999999999999997E-2</v>
      </c>
      <c r="J48" s="341"/>
      <c r="K48" s="341"/>
      <c r="L48" s="341"/>
      <c r="M48" s="341"/>
      <c r="O48" s="184"/>
      <c r="P48" s="177" t="s">
        <v>251</v>
      </c>
      <c r="Q48" s="177">
        <v>60</v>
      </c>
      <c r="R48" s="1"/>
      <c r="S48" s="177">
        <v>20</v>
      </c>
    </row>
    <row r="49" spans="1:19">
      <c r="A49" s="133">
        <v>90</v>
      </c>
      <c r="B49" s="134">
        <v>0.14599999999999999</v>
      </c>
      <c r="C49" s="134">
        <v>0.14499999999999999</v>
      </c>
      <c r="D49" s="134">
        <v>0.14099999999999999</v>
      </c>
      <c r="E49" s="134">
        <v>0.13300000000000001</v>
      </c>
      <c r="F49" s="134">
        <v>0.11899999999999999</v>
      </c>
      <c r="G49" s="134">
        <v>9.7000000000000003E-2</v>
      </c>
      <c r="H49" s="134">
        <v>6.9000000000000006E-2</v>
      </c>
      <c r="I49" s="134">
        <v>3.5999999999999997E-2</v>
      </c>
      <c r="J49" s="341"/>
      <c r="K49" s="341"/>
      <c r="L49" s="341"/>
      <c r="M49" s="341"/>
      <c r="O49" s="184"/>
      <c r="P49" s="177" t="s">
        <v>252</v>
      </c>
      <c r="Q49" s="177">
        <v>50</v>
      </c>
      <c r="R49" s="1"/>
      <c r="S49" s="177">
        <v>20</v>
      </c>
    </row>
    <row r="50" spans="1:19">
      <c r="A50" s="133">
        <v>92</v>
      </c>
      <c r="B50" s="134">
        <v>0.11700000000000001</v>
      </c>
      <c r="C50" s="134">
        <v>0.11600000000000001</v>
      </c>
      <c r="D50" s="134">
        <v>0.114</v>
      </c>
      <c r="E50" s="134">
        <v>0.107</v>
      </c>
      <c r="F50" s="134">
        <v>9.6000000000000002E-2</v>
      </c>
      <c r="G50" s="134">
        <v>7.8E-2</v>
      </c>
      <c r="H50" s="134">
        <v>5.5E-2</v>
      </c>
      <c r="I50" s="134">
        <v>2.9000000000000001E-2</v>
      </c>
      <c r="J50" s="341"/>
      <c r="K50" s="341"/>
      <c r="L50" s="341"/>
      <c r="M50" s="341"/>
      <c r="O50" s="182"/>
      <c r="P50" s="177" t="s">
        <v>253</v>
      </c>
      <c r="Q50" s="177">
        <v>50</v>
      </c>
      <c r="R50" s="183"/>
      <c r="S50" s="177">
        <v>20</v>
      </c>
    </row>
    <row r="51" spans="1:19">
      <c r="A51" s="133">
        <v>94</v>
      </c>
      <c r="B51" s="134">
        <v>8.7999999999999995E-2</v>
      </c>
      <c r="C51" s="134">
        <v>8.7999999999999995E-2</v>
      </c>
      <c r="D51" s="134">
        <v>8.5999999999999993E-2</v>
      </c>
      <c r="E51" s="134">
        <v>8.1000000000000003E-2</v>
      </c>
      <c r="F51" s="134">
        <v>7.1999999999999995E-2</v>
      </c>
      <c r="G51" s="134">
        <v>5.8999999999999997E-2</v>
      </c>
      <c r="H51" s="134">
        <v>4.2000000000000003E-2</v>
      </c>
      <c r="I51" s="134">
        <v>2.1999999999999999E-2</v>
      </c>
      <c r="J51" s="341"/>
      <c r="K51" s="341"/>
      <c r="L51" s="341"/>
      <c r="M51" s="341"/>
    </row>
    <row r="52" spans="1:19">
      <c r="A52" s="133">
        <v>96</v>
      </c>
      <c r="B52" s="134">
        <v>5.8999999999999997E-2</v>
      </c>
      <c r="C52" s="134">
        <v>5.8999999999999997E-2</v>
      </c>
      <c r="D52" s="134">
        <v>5.8000000000000003E-2</v>
      </c>
      <c r="E52" s="134">
        <v>5.3999999999999999E-2</v>
      </c>
      <c r="F52" s="134">
        <v>4.8000000000000001E-2</v>
      </c>
      <c r="G52" s="134">
        <v>0.04</v>
      </c>
      <c r="H52" s="134">
        <v>2.8000000000000001E-2</v>
      </c>
      <c r="I52" s="134">
        <v>1.4999999999999999E-2</v>
      </c>
      <c r="J52" s="341"/>
      <c r="K52" s="341"/>
      <c r="L52" s="341"/>
      <c r="M52" s="341"/>
      <c r="O52" s="180" t="s">
        <v>255</v>
      </c>
      <c r="P52" s="177" t="s">
        <v>245</v>
      </c>
      <c r="Q52" s="177">
        <v>60</v>
      </c>
      <c r="R52" s="181"/>
      <c r="S52" s="177">
        <v>20</v>
      </c>
    </row>
    <row r="53" spans="1:19">
      <c r="A53" s="133">
        <v>98</v>
      </c>
      <c r="B53" s="134">
        <v>0.03</v>
      </c>
      <c r="C53" s="134">
        <v>0.03</v>
      </c>
      <c r="D53" s="134">
        <v>2.9000000000000001E-2</v>
      </c>
      <c r="E53" s="134">
        <v>2.7E-2</v>
      </c>
      <c r="F53" s="134">
        <v>2.4E-2</v>
      </c>
      <c r="G53" s="134">
        <v>0.02</v>
      </c>
      <c r="H53" s="134">
        <v>1.4E-2</v>
      </c>
      <c r="I53" s="134">
        <v>7.0000000000000001E-3</v>
      </c>
      <c r="J53" s="341"/>
      <c r="K53" s="341"/>
      <c r="L53" s="341"/>
      <c r="M53" s="341"/>
      <c r="O53" s="184"/>
      <c r="P53" s="177" t="s">
        <v>246</v>
      </c>
      <c r="Q53" s="177">
        <v>60</v>
      </c>
      <c r="R53" s="1"/>
      <c r="S53" s="177">
        <v>20</v>
      </c>
    </row>
    <row r="54" spans="1:19">
      <c r="A54" s="133">
        <v>100</v>
      </c>
      <c r="B54" s="134">
        <v>0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341"/>
      <c r="K54" s="341"/>
      <c r="L54" s="341"/>
      <c r="M54" s="341"/>
      <c r="O54" s="184"/>
      <c r="P54" s="177" t="s">
        <v>250</v>
      </c>
      <c r="Q54" s="177">
        <v>80</v>
      </c>
      <c r="R54" s="1"/>
      <c r="S54" s="177">
        <v>20</v>
      </c>
    </row>
    <row r="55" spans="1:19">
      <c r="O55" s="182"/>
      <c r="P55" s="177" t="s">
        <v>251</v>
      </c>
      <c r="Q55" s="177">
        <v>80</v>
      </c>
      <c r="R55" s="183"/>
      <c r="S55" s="177">
        <v>20</v>
      </c>
    </row>
    <row r="57" spans="1:19">
      <c r="O57" s="180" t="s">
        <v>256</v>
      </c>
      <c r="P57" s="177" t="s">
        <v>245</v>
      </c>
      <c r="Q57" s="177">
        <v>20</v>
      </c>
      <c r="R57" s="181"/>
      <c r="S57" s="177">
        <v>10</v>
      </c>
    </row>
    <row r="58" spans="1:19">
      <c r="O58" s="184"/>
      <c r="P58" s="177" t="s">
        <v>246</v>
      </c>
      <c r="Q58" s="177">
        <v>20</v>
      </c>
      <c r="R58" s="1"/>
      <c r="S58" s="177">
        <v>10</v>
      </c>
    </row>
    <row r="59" spans="1:19">
      <c r="O59" s="182"/>
      <c r="P59" s="177" t="s">
        <v>251</v>
      </c>
      <c r="Q59" s="177">
        <v>30</v>
      </c>
      <c r="R59" s="183"/>
      <c r="S59" s="177">
        <v>10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opLeftCell="B1" workbookViewId="0">
      <selection activeCell="E9" sqref="E9"/>
    </sheetView>
  </sheetViews>
  <sheetFormatPr defaultRowHeight="12.75"/>
  <cols>
    <col min="1" max="1" width="3.7109375" customWidth="1"/>
    <col min="2" max="2" width="1.7109375" customWidth="1"/>
    <col min="3" max="3" width="2.5703125" customWidth="1"/>
    <col min="4" max="4" width="47.85546875" customWidth="1"/>
    <col min="5" max="5" width="90" customWidth="1"/>
    <col min="6" max="6" width="7.5703125" customWidth="1"/>
    <col min="7" max="8" width="9.140625" customWidth="1"/>
    <col min="9" max="9" width="13.28515625" customWidth="1"/>
    <col min="10" max="10" width="9.140625" customWidth="1"/>
    <col min="11" max="11" width="8.85546875" customWidth="1"/>
    <col min="12" max="12" width="6.7109375" customWidth="1"/>
    <col min="13" max="13" width="7.42578125" customWidth="1"/>
    <col min="14" max="14" width="5.5703125" customWidth="1"/>
    <col min="15" max="15" width="9.7109375" customWidth="1"/>
    <col min="16" max="16" width="7.42578125" customWidth="1"/>
    <col min="17" max="17" width="1.85546875" customWidth="1"/>
    <col min="18" max="18" width="81" bestFit="1" customWidth="1"/>
  </cols>
  <sheetData>
    <row r="1" spans="1:33">
      <c r="D1" s="346" t="s">
        <v>386</v>
      </c>
      <c r="E1" s="346" t="str">
        <f>CONCATENATE('Página 1'!D4,"-",'Página 1'!G4,"-",'Página 1'!H4)</f>
        <v>Indra ou Montreal-Empresa:-</v>
      </c>
    </row>
    <row r="2" spans="1:33" ht="33.75" customHeight="1">
      <c r="B2" s="1018" t="s">
        <v>276</v>
      </c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</row>
    <row r="3" spans="1:33" ht="17.25" customHeight="1">
      <c r="A3" s="192" t="s">
        <v>277</v>
      </c>
      <c r="B3" s="193" t="s">
        <v>278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019" t="s">
        <v>279</v>
      </c>
      <c r="S3" s="1019"/>
      <c r="T3" s="1019"/>
      <c r="U3" s="1019"/>
      <c r="V3" s="1019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</row>
    <row r="4" spans="1:33" ht="17.25" customHeight="1">
      <c r="A4" t="s">
        <v>280</v>
      </c>
      <c r="B4" s="194"/>
      <c r="C4" s="195" t="s">
        <v>158</v>
      </c>
      <c r="D4" s="194"/>
      <c r="E4" s="220" t="str">
        <f>'Página 1'!B11</f>
        <v>Rua Cardeal Montini</v>
      </c>
      <c r="F4" s="194"/>
      <c r="G4" s="224" t="s">
        <v>32</v>
      </c>
      <c r="H4" s="220">
        <f>'Página 1'!G11</f>
        <v>812</v>
      </c>
      <c r="I4" s="194"/>
      <c r="J4" s="194"/>
      <c r="K4" s="194"/>
      <c r="L4" s="194"/>
      <c r="M4" s="194"/>
      <c r="N4" s="194"/>
      <c r="O4" s="194"/>
      <c r="P4" s="194"/>
      <c r="Q4" s="194"/>
    </row>
    <row r="5" spans="1:33" ht="17.25" customHeight="1">
      <c r="A5" t="s">
        <v>280</v>
      </c>
      <c r="B5" s="194"/>
      <c r="C5" s="194" t="s">
        <v>281</v>
      </c>
      <c r="D5" s="194"/>
      <c r="E5" s="220">
        <f>'Página 1'!H11</f>
        <v>0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33" ht="17.25" customHeight="1">
      <c r="A6" t="s">
        <v>280</v>
      </c>
      <c r="B6" s="194"/>
      <c r="C6" s="194" t="s">
        <v>282</v>
      </c>
      <c r="D6" s="194"/>
      <c r="E6" s="220" t="str">
        <f>'Página 1'!B13</f>
        <v>Jardim Santa Catarina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1:33" ht="17.25" customHeight="1">
      <c r="A7" t="s">
        <v>280</v>
      </c>
      <c r="B7" s="194"/>
      <c r="C7" s="194" t="s">
        <v>283</v>
      </c>
      <c r="D7" s="194"/>
      <c r="E7" s="220" t="str">
        <f>'Página 1'!D13</f>
        <v>São Gonçalo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</row>
    <row r="8" spans="1:33" ht="17.25" customHeight="1">
      <c r="A8" t="s">
        <v>280</v>
      </c>
      <c r="B8" s="194"/>
      <c r="C8" s="194" t="s">
        <v>1</v>
      </c>
      <c r="D8" s="194"/>
      <c r="E8" s="220" t="str">
        <f>E7</f>
        <v>São Gonçalo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33" ht="17.25" customHeight="1">
      <c r="A9" t="s">
        <v>280</v>
      </c>
      <c r="B9" s="194"/>
      <c r="C9" s="194" t="s">
        <v>33</v>
      </c>
      <c r="D9" s="194"/>
      <c r="E9" s="220" t="str">
        <f>'Página 1'!G13</f>
        <v>RJ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</row>
    <row r="10" spans="1:33" ht="17.25" customHeight="1">
      <c r="A10" t="s">
        <v>280</v>
      </c>
      <c r="B10" s="194"/>
      <c r="C10" s="194" t="s">
        <v>16</v>
      </c>
      <c r="D10" s="194"/>
      <c r="E10" s="220" t="str">
        <f>'Página 1'!H13</f>
        <v>24715-406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</row>
    <row r="11" spans="1:33" ht="17.25" customHeight="1">
      <c r="B11" s="196" t="s">
        <v>284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</row>
    <row r="12" spans="1:33" ht="19.5" customHeight="1">
      <c r="A12" t="s">
        <v>280</v>
      </c>
      <c r="B12" s="198"/>
      <c r="C12" s="198" t="s">
        <v>285</v>
      </c>
      <c r="D12" s="198"/>
      <c r="E12" s="233" t="str">
        <f>'Página 2'!B66</f>
        <v>Residêncial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t="s">
        <v>286</v>
      </c>
    </row>
    <row r="13" spans="1:33" ht="19.5" customHeight="1">
      <c r="A13" t="s">
        <v>280</v>
      </c>
      <c r="B13" s="198"/>
      <c r="C13" s="234" t="s">
        <v>287</v>
      </c>
      <c r="D13" s="234"/>
      <c r="E13" s="238" t="str">
        <f>TRIM(CONCATENATE(lista!F23," ",lista!F24," ",lista!F25," ",lista!F26," ",lista!F27," ",lista!F28," ",lista!F29," ",lista!F30," ",lista!F31," ",lista!F32," ",lista!F33," ",lista!F34))</f>
        <v>Rede de água Rede de esgoto Rede elétrica Águas pluviais Rede telefônica Iluminação pública Asfalto Guias e sargetas Passeio Fossa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5"/>
      <c r="R13" t="s">
        <v>288</v>
      </c>
    </row>
    <row r="14" spans="1:33" ht="17.25" customHeight="1">
      <c r="A14" t="s">
        <v>280</v>
      </c>
      <c r="B14" s="198"/>
      <c r="C14" s="234" t="s">
        <v>289</v>
      </c>
      <c r="D14" s="234"/>
      <c r="E14" s="238" t="str">
        <f>TRIM(CONCATENATE(lista!F38," ",lista!F39," ",lista!F40," ",lista!F41," ",lista!F42," ",lista!F43," ",lista!F44," ",lista!F45," ",lista!F46))</f>
        <v/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5"/>
      <c r="R14" t="s">
        <v>288</v>
      </c>
    </row>
    <row r="15" spans="1:33" ht="17.25" customHeight="1">
      <c r="B15" s="199" t="s">
        <v>31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</row>
    <row r="16" spans="1:33" ht="17.25" customHeight="1">
      <c r="A16" t="s">
        <v>280</v>
      </c>
      <c r="B16" s="201"/>
      <c r="C16" s="201" t="s">
        <v>290</v>
      </c>
      <c r="D16" s="201"/>
      <c r="E16" s="222" t="str">
        <f>'Página 1'!G37</f>
        <v>regular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</row>
    <row r="17" spans="1:18" ht="17.25" customHeight="1">
      <c r="A17" t="s">
        <v>170</v>
      </c>
      <c r="B17" s="201"/>
      <c r="C17" s="201" t="s">
        <v>291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</row>
    <row r="18" spans="1:18" ht="17.25" customHeight="1">
      <c r="A18" t="s">
        <v>280</v>
      </c>
      <c r="B18" s="201"/>
      <c r="C18" s="201" t="s">
        <v>292</v>
      </c>
      <c r="D18" s="201"/>
      <c r="E18" s="223" t="str">
        <f>'Página 1'!H37</f>
        <v>plano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t="s">
        <v>293</v>
      </c>
    </row>
    <row r="19" spans="1:18" ht="17.25" customHeight="1">
      <c r="A19" t="s">
        <v>170</v>
      </c>
      <c r="B19" s="201"/>
      <c r="C19" s="201" t="s">
        <v>294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t="s">
        <v>295</v>
      </c>
    </row>
    <row r="20" spans="1:18" ht="17.25" customHeight="1">
      <c r="A20" t="s">
        <v>170</v>
      </c>
      <c r="B20" s="201"/>
      <c r="C20" s="201" t="s">
        <v>296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t="s">
        <v>297</v>
      </c>
    </row>
    <row r="21" spans="1:18" ht="17.25" customHeight="1">
      <c r="A21" t="s">
        <v>280</v>
      </c>
      <c r="B21" s="201"/>
      <c r="C21" s="201" t="s">
        <v>298</v>
      </c>
      <c r="D21" s="201"/>
      <c r="E21" s="221">
        <f>'Página 1'!B37</f>
        <v>360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</row>
    <row r="22" spans="1:18" ht="17.25" customHeight="1">
      <c r="A22" t="s">
        <v>280</v>
      </c>
      <c r="B22" s="201"/>
      <c r="C22" s="201" t="s">
        <v>299</v>
      </c>
      <c r="D22" s="201"/>
      <c r="E22" s="221">
        <f>'Página 1'!E37:F37</f>
        <v>12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1:18" ht="17.25" customHeight="1">
      <c r="A23" t="s">
        <v>170</v>
      </c>
      <c r="B23" s="201"/>
      <c r="C23" s="201" t="s">
        <v>300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t="s">
        <v>301</v>
      </c>
    </row>
    <row r="24" spans="1:18" ht="17.25" customHeight="1">
      <c r="A24" t="s">
        <v>170</v>
      </c>
      <c r="B24" s="201"/>
      <c r="C24" s="201" t="s">
        <v>302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t="s">
        <v>301</v>
      </c>
    </row>
    <row r="25" spans="1:18" ht="17.25" customHeight="1">
      <c r="A25" t="s">
        <v>170</v>
      </c>
      <c r="B25" s="201"/>
      <c r="C25" s="201" t="s">
        <v>303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t="s">
        <v>301</v>
      </c>
    </row>
    <row r="26" spans="1:18" ht="17.25" customHeight="1">
      <c r="A26" t="s">
        <v>280</v>
      </c>
      <c r="B26" s="201"/>
      <c r="C26" s="201" t="s">
        <v>304</v>
      </c>
      <c r="D26" s="201"/>
      <c r="E26" s="222">
        <f>'Página 1'!D37</f>
        <v>100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t="s">
        <v>301</v>
      </c>
    </row>
    <row r="27" spans="1:18" ht="17.25" customHeight="1">
      <c r="B27" s="202" t="s">
        <v>305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</row>
    <row r="28" spans="1:18" ht="17.25" customHeight="1">
      <c r="A28" t="s">
        <v>280</v>
      </c>
      <c r="B28" s="204"/>
      <c r="C28" s="204" t="s">
        <v>306</v>
      </c>
      <c r="D28" s="204"/>
      <c r="E28" s="218" t="str">
        <f>'Página 1'!B33</f>
        <v>Casa térrea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</row>
    <row r="29" spans="1:18" ht="17.25" customHeight="1">
      <c r="A29" t="s">
        <v>170</v>
      </c>
      <c r="B29" s="204"/>
      <c r="C29" s="204" t="s">
        <v>307</v>
      </c>
      <c r="D29" s="204"/>
      <c r="E29" s="218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</row>
    <row r="30" spans="1:18" ht="17.25" customHeight="1">
      <c r="A30" t="s">
        <v>280</v>
      </c>
      <c r="B30" s="204"/>
      <c r="C30" s="204" t="s">
        <v>308</v>
      </c>
      <c r="D30" s="204"/>
      <c r="E30" s="225">
        <f>'Página 2'!T40</f>
        <v>0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"/>
    </row>
    <row r="31" spans="1:18" ht="17.25" customHeight="1">
      <c r="A31" t="s">
        <v>280</v>
      </c>
      <c r="B31" s="204"/>
      <c r="C31" s="204" t="s">
        <v>309</v>
      </c>
      <c r="D31" s="204"/>
      <c r="E31" s="225">
        <f>'Página 2'!H12</f>
        <v>1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" t="s">
        <v>367</v>
      </c>
    </row>
    <row r="32" spans="1:18" ht="17.25" customHeight="1">
      <c r="A32" t="s">
        <v>280</v>
      </c>
      <c r="B32" s="204"/>
      <c r="C32" s="204" t="s">
        <v>310</v>
      </c>
      <c r="D32" s="204"/>
      <c r="E32" s="225">
        <f>'Página 2'!H13</f>
        <v>1</v>
      </c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" t="s">
        <v>368</v>
      </c>
    </row>
    <row r="33" spans="1:18" ht="17.25" customHeight="1">
      <c r="A33" t="s">
        <v>280</v>
      </c>
      <c r="B33" s="204"/>
      <c r="C33" s="204" t="s">
        <v>2</v>
      </c>
      <c r="D33" s="204"/>
      <c r="E33" s="225">
        <f>'Página 1'!H33</f>
        <v>10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</row>
    <row r="34" spans="1:18" ht="17.25" customHeight="1">
      <c r="A34" t="s">
        <v>170</v>
      </c>
      <c r="B34" s="204"/>
      <c r="C34" s="204" t="s">
        <v>311</v>
      </c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t="s">
        <v>312</v>
      </c>
    </row>
    <row r="35" spans="1:18" ht="17.25" customHeight="1">
      <c r="A35" t="s">
        <v>280</v>
      </c>
      <c r="B35" s="204"/>
      <c r="C35" s="204" t="s">
        <v>313</v>
      </c>
      <c r="D35" s="204"/>
      <c r="E35" s="225" t="str">
        <f>'Página 1'!D33</f>
        <v>Médio</v>
      </c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</row>
    <row r="36" spans="1:18" ht="17.25" customHeight="1">
      <c r="A36" t="s">
        <v>280</v>
      </c>
      <c r="B36" s="204"/>
      <c r="C36" s="204" t="s">
        <v>314</v>
      </c>
      <c r="D36" s="204"/>
      <c r="E36" s="218" t="str">
        <f>'Página 1'!F33</f>
        <v>bom</v>
      </c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</row>
    <row r="37" spans="1:18" ht="17.25" customHeight="1">
      <c r="A37" t="s">
        <v>280</v>
      </c>
      <c r="B37" s="204"/>
      <c r="C37" s="204" t="s">
        <v>315</v>
      </c>
      <c r="D37" s="204"/>
      <c r="E37" s="225" t="str">
        <f>'Página 2'!T38</f>
        <v>alvenaria</v>
      </c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</row>
    <row r="38" spans="1:18" ht="17.25" customHeight="1">
      <c r="A38" t="s">
        <v>280</v>
      </c>
      <c r="B38" s="204"/>
      <c r="C38" s="204" t="s">
        <v>316</v>
      </c>
      <c r="D38" s="204"/>
      <c r="E38" s="225">
        <f>'Página 2'!H30</f>
        <v>0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18" ht="17.25" customHeight="1">
      <c r="A39" t="s">
        <v>170</v>
      </c>
      <c r="B39" s="205"/>
      <c r="C39" s="205"/>
      <c r="D39" s="205" t="s">
        <v>317</v>
      </c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</row>
    <row r="40" spans="1:18" ht="17.25" customHeight="1">
      <c r="A40" t="s">
        <v>170</v>
      </c>
      <c r="B40" s="205"/>
      <c r="C40" s="205"/>
      <c r="D40" s="205" t="s">
        <v>318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</row>
    <row r="41" spans="1:18" ht="17.25" customHeight="1">
      <c r="A41" t="s">
        <v>280</v>
      </c>
      <c r="B41" s="204"/>
      <c r="C41" s="204" t="s">
        <v>319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t="s">
        <v>320</v>
      </c>
    </row>
    <row r="42" spans="1:18" ht="17.25" customHeight="1">
      <c r="A42" t="s">
        <v>280</v>
      </c>
      <c r="B42" s="205"/>
      <c r="C42" s="205"/>
      <c r="D42" s="205" t="s">
        <v>321</v>
      </c>
      <c r="E42" s="229"/>
      <c r="F42" s="205"/>
      <c r="G42" s="205"/>
      <c r="H42" s="230" t="str">
        <f>'Página 1'!B42</f>
        <v>Anexo</v>
      </c>
      <c r="I42" s="229">
        <f>'Página 1'!C42</f>
        <v>60</v>
      </c>
      <c r="J42" s="205"/>
      <c r="K42" s="205"/>
      <c r="L42" s="205"/>
      <c r="M42" s="205"/>
      <c r="N42" s="205"/>
      <c r="O42" s="205"/>
      <c r="P42" s="205"/>
      <c r="Q42" s="205"/>
      <c r="R42" s="2" t="s">
        <v>369</v>
      </c>
    </row>
    <row r="43" spans="1:18" ht="17.25" customHeight="1">
      <c r="A43" t="s">
        <v>280</v>
      </c>
      <c r="B43" s="205"/>
      <c r="C43" s="205"/>
      <c r="D43" s="205" t="s">
        <v>322</v>
      </c>
      <c r="E43" s="229"/>
      <c r="F43" s="205"/>
      <c r="G43" s="205"/>
      <c r="H43" s="230"/>
      <c r="I43" s="229">
        <f>'Página 1'!E42</f>
        <v>0</v>
      </c>
      <c r="J43" s="205"/>
      <c r="K43" s="205"/>
      <c r="L43" s="205"/>
      <c r="M43" s="205"/>
      <c r="N43" s="205"/>
      <c r="O43" s="205"/>
      <c r="P43" s="205"/>
      <c r="Q43" s="205"/>
    </row>
    <row r="44" spans="1:18" ht="17.25" customHeight="1">
      <c r="A44" t="s">
        <v>280</v>
      </c>
      <c r="B44" s="205"/>
      <c r="C44" s="205"/>
      <c r="D44" s="205" t="s">
        <v>323</v>
      </c>
      <c r="E44" s="229">
        <f>'Página 1'!C41+'Página 1'!C42+'Página 1'!C43+'Página 1'!C44+'Página 1'!C45</f>
        <v>139.30000000000001</v>
      </c>
      <c r="F44" s="205"/>
      <c r="G44" s="205"/>
      <c r="H44" s="230"/>
      <c r="I44" s="229">
        <f>'Página 1'!H42</f>
        <v>60</v>
      </c>
      <c r="J44" s="205"/>
      <c r="K44" s="205"/>
      <c r="L44" s="205"/>
      <c r="M44" s="205"/>
      <c r="N44" s="205"/>
      <c r="O44" s="205"/>
      <c r="P44" s="205"/>
      <c r="Q44" s="205"/>
    </row>
    <row r="45" spans="1:18" ht="17.25" customHeight="1">
      <c r="A45" t="s">
        <v>280</v>
      </c>
      <c r="B45" s="204"/>
      <c r="C45" s="204" t="s">
        <v>324</v>
      </c>
      <c r="D45" s="204"/>
      <c r="E45" s="232">
        <f>'Página 1'!E41+'Página 1'!E42+'Página 1'!E43+'Página 1'!E44+'Página 1'!E45</f>
        <v>0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t="s">
        <v>320</v>
      </c>
    </row>
    <row r="46" spans="1:18" ht="17.25" customHeight="1">
      <c r="A46" t="s">
        <v>170</v>
      </c>
      <c r="B46" s="204"/>
      <c r="C46" s="204" t="s">
        <v>325</v>
      </c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</row>
    <row r="47" spans="1:18" ht="17.25" customHeight="1">
      <c r="B47" s="206" t="s">
        <v>326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8" ht="17.25" customHeight="1">
      <c r="A48" t="s">
        <v>170</v>
      </c>
      <c r="B48" s="208"/>
      <c r="C48" s="208" t="s">
        <v>327</v>
      </c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</row>
    <row r="49" spans="1:18" ht="17.25" customHeight="1">
      <c r="A49" t="s">
        <v>280</v>
      </c>
      <c r="B49" s="208"/>
      <c r="C49" s="208" t="s">
        <v>328</v>
      </c>
      <c r="D49" s="208"/>
      <c r="E49" s="22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</row>
    <row r="50" spans="1:18" ht="17.25" customHeight="1">
      <c r="A50" t="s">
        <v>170</v>
      </c>
      <c r="B50" s="208"/>
      <c r="C50" s="208" t="s">
        <v>329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t="s">
        <v>330</v>
      </c>
    </row>
    <row r="51" spans="1:18" ht="17.25" customHeight="1">
      <c r="A51" t="s">
        <v>280</v>
      </c>
      <c r="B51" s="208"/>
      <c r="C51" s="208" t="s">
        <v>331</v>
      </c>
      <c r="D51" s="208"/>
      <c r="E51" s="22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</row>
    <row r="52" spans="1:18" ht="17.25" customHeight="1">
      <c r="A52" t="s">
        <v>170</v>
      </c>
      <c r="B52" s="208"/>
      <c r="C52" s="208" t="s">
        <v>332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t="s">
        <v>333</v>
      </c>
    </row>
    <row r="53" spans="1:18" ht="17.25" customHeight="1">
      <c r="A53" t="s">
        <v>170</v>
      </c>
      <c r="B53" s="208"/>
      <c r="C53" s="208" t="s">
        <v>313</v>
      </c>
      <c r="D53" s="208"/>
      <c r="E53" s="219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</row>
    <row r="54" spans="1:18" ht="17.25" customHeight="1">
      <c r="A54" t="s">
        <v>170</v>
      </c>
      <c r="B54" s="208"/>
      <c r="C54" s="208" t="s">
        <v>314</v>
      </c>
      <c r="D54" s="208"/>
      <c r="E54" s="219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</row>
    <row r="55" spans="1:18" ht="17.25" customHeight="1">
      <c r="A55" t="s">
        <v>170</v>
      </c>
      <c r="B55" s="208"/>
      <c r="C55" s="208" t="s">
        <v>2</v>
      </c>
      <c r="D55" s="208"/>
      <c r="E55" s="22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t="s">
        <v>334</v>
      </c>
    </row>
    <row r="56" spans="1:18" ht="17.25" customHeight="1">
      <c r="A56" t="s">
        <v>280</v>
      </c>
      <c r="B56" s="208"/>
      <c r="C56" s="208" t="s">
        <v>335</v>
      </c>
      <c r="D56" s="208"/>
      <c r="E56" s="219" t="str">
        <f>TRIM(CONCATENATE(lista!B23," ",lista!B24," ",lista!B25," ",lista!B26," ",lista!B27," ",lista!B28," ",lista!B29," ",lista!B30," ",lista!B31," ",lista!B32," ",lista!B33," ",lista!B34))</f>
        <v>Piscina Churrasqueira</v>
      </c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</row>
    <row r="57" spans="1:18" ht="26.25" customHeight="1">
      <c r="A57" t="s">
        <v>170</v>
      </c>
      <c r="B57" s="209" t="s">
        <v>336</v>
      </c>
      <c r="C57" s="209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t="s">
        <v>337</v>
      </c>
    </row>
    <row r="58" spans="1:18" ht="26.25" customHeight="1">
      <c r="A58" t="s">
        <v>280</v>
      </c>
      <c r="B58" s="211" t="s">
        <v>338</v>
      </c>
      <c r="C58" s="211"/>
      <c r="D58" s="212"/>
      <c r="E58" s="227">
        <f>'Página 1'!B50</f>
        <v>293000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t="s">
        <v>339</v>
      </c>
    </row>
    <row r="59" spans="1:18" ht="26.25" customHeight="1">
      <c r="A59" t="s">
        <v>170</v>
      </c>
      <c r="B59" s="213" t="s">
        <v>340</v>
      </c>
      <c r="C59" s="213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t="s">
        <v>341</v>
      </c>
    </row>
    <row r="60" spans="1:18" ht="20.25" customHeight="1"/>
    <row r="61" spans="1:18" ht="23.25">
      <c r="B61" s="1020" t="s">
        <v>342</v>
      </c>
      <c r="C61" s="1020"/>
      <c r="D61" s="1020"/>
      <c r="E61" s="1020"/>
      <c r="F61" s="1020"/>
      <c r="G61" s="1020"/>
      <c r="H61" s="1020"/>
      <c r="I61" s="1020"/>
      <c r="J61" s="1020"/>
      <c r="K61" s="1020"/>
      <c r="L61" s="1020"/>
      <c r="M61" s="1020"/>
      <c r="N61" s="1020"/>
      <c r="O61" s="1020"/>
      <c r="P61" s="1020"/>
      <c r="Q61" s="1020"/>
    </row>
    <row r="62" spans="1:18">
      <c r="A62" t="s">
        <v>280</v>
      </c>
      <c r="B62" t="s">
        <v>343</v>
      </c>
      <c r="E62" s="226">
        <f>'Página 1'!B57</f>
        <v>41473</v>
      </c>
    </row>
    <row r="63" spans="1:18" ht="15">
      <c r="A63" t="s">
        <v>280</v>
      </c>
      <c r="B63" s="215" t="s">
        <v>344</v>
      </c>
    </row>
    <row r="64" spans="1:18">
      <c r="A64" t="s">
        <v>170</v>
      </c>
      <c r="B64" t="s">
        <v>345</v>
      </c>
    </row>
    <row r="65" spans="1:5">
      <c r="A65" t="s">
        <v>170</v>
      </c>
      <c r="B65" t="s">
        <v>346</v>
      </c>
    </row>
    <row r="66" spans="1:5">
      <c r="A66" t="s">
        <v>280</v>
      </c>
      <c r="B66" t="s">
        <v>347</v>
      </c>
      <c r="E66" s="177" t="str">
        <f>'Página 2'!W66</f>
        <v>baixo</v>
      </c>
    </row>
    <row r="67" spans="1:5">
      <c r="A67" t="s">
        <v>280</v>
      </c>
      <c r="B67" t="s">
        <v>348</v>
      </c>
      <c r="E67" s="177" t="str">
        <f>'Página 2'!T36</f>
        <v>concreto</v>
      </c>
    </row>
    <row r="68" spans="1:5">
      <c r="A68" t="s">
        <v>280</v>
      </c>
      <c r="B68" t="s">
        <v>349</v>
      </c>
      <c r="E68" s="177" t="str">
        <f>CONCATENATE('Página 2'!O5,";",'Página 2'!J5,";",'Página 2'!T5)</f>
        <v>cerâmica;pintura;pintura</v>
      </c>
    </row>
    <row r="69" spans="1:5">
      <c r="A69" t="s">
        <v>280</v>
      </c>
      <c r="B69" t="s">
        <v>350</v>
      </c>
    </row>
    <row r="70" spans="1:5">
      <c r="A70" t="s">
        <v>280</v>
      </c>
      <c r="B70" t="s">
        <v>351</v>
      </c>
      <c r="E70" s="177" t="str">
        <f>TRIM(CONCATENATE(lista!B50," ",lista!B51," ",lista!B52," ",lista!B53," ",lista!B54," ",lista!B55," ",lista!B56," ",lista!B57," ",lista!B58))</f>
        <v>favela</v>
      </c>
    </row>
    <row r="71" spans="1:5">
      <c r="A71" t="s">
        <v>280</v>
      </c>
      <c r="B71" t="s">
        <v>352</v>
      </c>
    </row>
    <row r="72" spans="1:5">
      <c r="A72" t="s">
        <v>280</v>
      </c>
      <c r="B72" t="s">
        <v>353</v>
      </c>
    </row>
  </sheetData>
  <mergeCells count="3">
    <mergeCell ref="B2:Q2"/>
    <mergeCell ref="R3:AG3"/>
    <mergeCell ref="B61:Q61"/>
  </mergeCells>
  <conditionalFormatting sqref="A1:A1048576 B61">
    <cfRule type="cellIs" dxfId="6" priority="7" operator="equal">
      <formula>$A$18</formula>
    </cfRule>
    <cfRule type="cellIs" dxfId="5" priority="8" stopIfTrue="1" operator="equal">
      <formula>$A$10</formula>
    </cfRule>
    <cfRule type="cellIs" dxfId="4" priority="9" stopIfTrue="1" operator="equal">
      <formula>$A$4</formula>
    </cfRule>
    <cfRule type="cellIs" dxfId="3" priority="10" stopIfTrue="1" operator="equal">
      <formula>$A$4</formula>
    </cfRule>
  </conditionalFormatting>
  <conditionalFormatting sqref="A62:A72">
    <cfRule type="cellIs" dxfId="2" priority="5" operator="equal">
      <formula>$A$55</formula>
    </cfRule>
    <cfRule type="cellIs" dxfId="1" priority="6" operator="equal">
      <formula>$A$56</formula>
    </cfRule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8"/>
  <sheetViews>
    <sheetView topLeftCell="A28" workbookViewId="0">
      <selection activeCell="B58" sqref="B58"/>
    </sheetView>
  </sheetViews>
  <sheetFormatPr defaultRowHeight="12.75"/>
  <cols>
    <col min="10" max="10" width="14.42578125" bestFit="1" customWidth="1"/>
    <col min="12" max="12" width="15.28515625" bestFit="1" customWidth="1"/>
    <col min="13" max="13" width="12.28515625" customWidth="1"/>
  </cols>
  <sheetData>
    <row r="3" spans="2:17">
      <c r="B3" s="16" t="s">
        <v>48</v>
      </c>
      <c r="E3" s="16" t="s">
        <v>8</v>
      </c>
      <c r="G3" s="381" t="s">
        <v>656</v>
      </c>
      <c r="I3" s="2"/>
      <c r="J3" s="2" t="s">
        <v>231</v>
      </c>
      <c r="L3" s="381" t="s">
        <v>649</v>
      </c>
      <c r="N3" s="2" t="s">
        <v>371</v>
      </c>
      <c r="P3" s="2" t="s">
        <v>372</v>
      </c>
      <c r="Q3" s="381" t="s">
        <v>654</v>
      </c>
    </row>
    <row r="4" spans="2:17">
      <c r="B4" s="16" t="s">
        <v>49</v>
      </c>
      <c r="E4" s="16" t="s">
        <v>4</v>
      </c>
      <c r="G4" s="381" t="s">
        <v>231</v>
      </c>
      <c r="I4" s="2"/>
      <c r="J4" s="2" t="s">
        <v>359</v>
      </c>
      <c r="L4" s="381" t="s">
        <v>360</v>
      </c>
      <c r="N4" s="2" t="s">
        <v>196</v>
      </c>
      <c r="P4" s="2" t="s">
        <v>373</v>
      </c>
      <c r="Q4" s="381" t="s">
        <v>651</v>
      </c>
    </row>
    <row r="5" spans="2:17">
      <c r="B5" s="16" t="s">
        <v>51</v>
      </c>
      <c r="E5" s="16" t="s">
        <v>3</v>
      </c>
      <c r="G5" s="381" t="s">
        <v>657</v>
      </c>
      <c r="I5" s="2"/>
      <c r="L5" s="381" t="s">
        <v>361</v>
      </c>
      <c r="N5" s="2" t="s">
        <v>197</v>
      </c>
      <c r="P5" s="2" t="s">
        <v>374</v>
      </c>
      <c r="Q5" s="381" t="s">
        <v>655</v>
      </c>
    </row>
    <row r="6" spans="2:17">
      <c r="B6" s="16" t="s">
        <v>50</v>
      </c>
      <c r="E6" s="16"/>
      <c r="I6" s="2"/>
      <c r="L6" s="381"/>
      <c r="N6" s="2" t="s">
        <v>198</v>
      </c>
      <c r="P6" s="2" t="s">
        <v>375</v>
      </c>
    </row>
    <row r="7" spans="2:17">
      <c r="B7" s="16" t="s">
        <v>52</v>
      </c>
      <c r="E7" s="16"/>
      <c r="I7" s="2"/>
      <c r="L7" s="381"/>
    </row>
    <row r="8" spans="2:17">
      <c r="B8" s="16" t="s">
        <v>53</v>
      </c>
      <c r="I8" s="2"/>
      <c r="L8" s="381"/>
    </row>
    <row r="9" spans="2:17">
      <c r="B9" s="16" t="s">
        <v>27</v>
      </c>
      <c r="I9" s="2"/>
    </row>
    <row r="10" spans="2:17">
      <c r="B10" s="16" t="s">
        <v>63</v>
      </c>
      <c r="I10" s="2"/>
    </row>
    <row r="11" spans="2:17">
      <c r="B11" s="16" t="s">
        <v>28</v>
      </c>
      <c r="I11" s="2"/>
    </row>
    <row r="12" spans="2:17">
      <c r="B12" s="16" t="s">
        <v>29</v>
      </c>
    </row>
    <row r="13" spans="2:17">
      <c r="B13" s="217" t="s">
        <v>355</v>
      </c>
    </row>
    <row r="14" spans="2:17">
      <c r="B14" s="217" t="s">
        <v>356</v>
      </c>
    </row>
    <row r="15" spans="2:17">
      <c r="B15" s="217" t="s">
        <v>357</v>
      </c>
    </row>
    <row r="16" spans="2:17">
      <c r="B16" s="217" t="s">
        <v>31</v>
      </c>
    </row>
    <row r="17" spans="2:8">
      <c r="B17" s="217" t="s">
        <v>358</v>
      </c>
    </row>
    <row r="18" spans="2:8">
      <c r="B18" s="217" t="s">
        <v>30</v>
      </c>
    </row>
    <row r="19" spans="2:8">
      <c r="H19" s="2"/>
    </row>
    <row r="22" spans="2:8">
      <c r="B22" s="236" t="s">
        <v>377</v>
      </c>
      <c r="C22" s="237"/>
      <c r="D22" s="179"/>
      <c r="F22" s="236" t="s">
        <v>379</v>
      </c>
      <c r="G22" s="179"/>
    </row>
    <row r="23" spans="2:8">
      <c r="B23" t="str">
        <f>IF('Página 2'!G44="x",'Página 2'!B44,"")</f>
        <v>Piscina</v>
      </c>
      <c r="F23" t="str">
        <f>IF('Página 2'!G61="x",'Página 2'!B61,"")</f>
        <v>Rede de água</v>
      </c>
    </row>
    <row r="24" spans="2:8">
      <c r="B24" t="str">
        <f>IF('Página 2'!G45="x",'Página 2'!B45,"")</f>
        <v/>
      </c>
      <c r="F24" t="str">
        <f>IF('Página 2'!G62="x",'Página 2'!B62,"")</f>
        <v>Rede de esgoto</v>
      </c>
    </row>
    <row r="25" spans="2:8">
      <c r="B25" t="str">
        <f>IF('Página 2'!G46="x",'Página 2'!B46,"")</f>
        <v>Churrasqueira</v>
      </c>
      <c r="F25" t="str">
        <f>IF('Página 2'!G63="x",'Página 2'!B63,"")</f>
        <v>Rede elétrica</v>
      </c>
    </row>
    <row r="26" spans="2:8">
      <c r="B26" t="str">
        <f>IF('Página 2'!N44="x",'Página 2'!I44,"")</f>
        <v/>
      </c>
      <c r="F26" t="str">
        <f>IF('Página 2'!N61="x",'Página 2'!I61,"")</f>
        <v>Águas pluviais</v>
      </c>
    </row>
    <row r="27" spans="2:8">
      <c r="B27" t="str">
        <f>IF('Página 2'!N45="x",'Página 2'!I45,"")</f>
        <v/>
      </c>
      <c r="F27" t="str">
        <f>IF('Página 2'!N62="x",'Página 2'!I62,"")</f>
        <v>Rede telefônica</v>
      </c>
    </row>
    <row r="28" spans="2:8">
      <c r="B28" t="str">
        <f>IF('Página 2'!N46="x",'Página 2'!I46,"")</f>
        <v/>
      </c>
      <c r="F28" t="str">
        <f>IF('Página 2'!N63="x",'Página 2'!I63,"")</f>
        <v>Iluminação pública</v>
      </c>
    </row>
    <row r="29" spans="2:8">
      <c r="B29" t="str">
        <f>IF('Página 2'!U44="x",'Página 2'!P44,"")</f>
        <v/>
      </c>
      <c r="F29" t="str">
        <f>IF('Página 2'!U61="x",'Página 2'!P61,"")</f>
        <v/>
      </c>
    </row>
    <row r="30" spans="2:8">
      <c r="B30" t="str">
        <f>IF('Página 2'!U45="x",'Página 2'!P45,"")</f>
        <v/>
      </c>
      <c r="F30" t="str">
        <f>IF('Página 2'!U62="x",'Página 2'!P62,"")</f>
        <v>Asfalto</v>
      </c>
    </row>
    <row r="31" spans="2:8">
      <c r="B31" t="str">
        <f>IF('Página 2'!U46="x",'Página 2'!P46,"")</f>
        <v/>
      </c>
      <c r="F31" t="str">
        <f>IF('Página 2'!U63="x",'Página 2'!P63,"")</f>
        <v/>
      </c>
    </row>
    <row r="32" spans="2:8">
      <c r="B32" t="str">
        <f>IF('Página 2'!AC44="x",'Página 2'!W44,"")</f>
        <v/>
      </c>
      <c r="F32" t="str">
        <f>IF('Página 2'!AC61="x",'Página 2'!W61,"")</f>
        <v>Guias e sargetas</v>
      </c>
    </row>
    <row r="33" spans="2:13">
      <c r="B33" t="str">
        <f>IF('Página 2'!AC45="x",'Página 2'!W45,"")</f>
        <v/>
      </c>
      <c r="F33" t="str">
        <f>IF('Página 2'!AC62="x",'Página 2'!W62,"")</f>
        <v>Passeio</v>
      </c>
    </row>
    <row r="34" spans="2:13">
      <c r="B34" t="str">
        <f>IF('Página 2'!AC46="x",'Página 2'!W46,"")</f>
        <v/>
      </c>
      <c r="F34" t="str">
        <f>IF('Página 2'!AC63="x",'Página 2'!W63,"")</f>
        <v>Fossa</v>
      </c>
    </row>
    <row r="37" spans="2:13">
      <c r="B37" s="236" t="s">
        <v>380</v>
      </c>
      <c r="C37" s="237"/>
      <c r="D37" s="179"/>
      <c r="G37" s="2" t="s">
        <v>199</v>
      </c>
      <c r="H37" s="2" t="s">
        <v>381</v>
      </c>
      <c r="I37" s="2" t="s">
        <v>200</v>
      </c>
      <c r="J37" s="7" t="s">
        <v>382</v>
      </c>
      <c r="K37" s="2" t="s">
        <v>201</v>
      </c>
      <c r="L37" s="2" t="s">
        <v>383</v>
      </c>
      <c r="M37" s="2" t="s">
        <v>384</v>
      </c>
    </row>
    <row r="38" spans="2:13">
      <c r="B38" t="str">
        <f>'Página 2'!B70</f>
        <v>Coleta de Lixo</v>
      </c>
      <c r="D38" t="str">
        <f>IF('Página 2'!I70="A",lista!$H$37,IF('Página 2'!I70="B",lista!$J$37,IF('Página 2'!I70="C",lista!$L$37,lista!$M$37)))</f>
        <v>não se aplica</v>
      </c>
      <c r="F38" t="str">
        <f t="shared" ref="F38:F46" si="0">IF(D38="não se aplica"," ",B38)</f>
        <v xml:space="preserve"> </v>
      </c>
    </row>
    <row r="39" spans="2:13">
      <c r="B39" t="str">
        <f>'Página 2'!B71</f>
        <v>Transporte Coletivo</v>
      </c>
      <c r="D39" t="str">
        <f>IF('Página 2'!I71="A",lista!$H$37,IF('Página 2'!I71="B",lista!$J$37,IF('Página 2'!I71="C",lista!$L$37,lista!$M$37)))</f>
        <v>não se aplica</v>
      </c>
      <c r="F39" t="str">
        <f t="shared" si="0"/>
        <v xml:space="preserve"> </v>
      </c>
    </row>
    <row r="40" spans="2:13">
      <c r="B40" t="str">
        <f>'Página 2'!B73</f>
        <v>Rede Bancária</v>
      </c>
      <c r="D40" t="str">
        <f>IF('Página 2'!I73="A",lista!$H$37,IF('Página 2'!I73="B",lista!$J$37,IF('Página 2'!I73="C",lista!$L$37,lista!$M$37)))</f>
        <v>não se aplica</v>
      </c>
      <c r="F40" t="str">
        <f t="shared" si="0"/>
        <v xml:space="preserve"> </v>
      </c>
    </row>
    <row r="41" spans="2:13">
      <c r="B41" t="str">
        <f>'Página 2'!L70</f>
        <v>Centros de Ensino</v>
      </c>
      <c r="D41" t="str">
        <f>IF('Página 2'!S70="A",lista!$H$37,IF('Página 2'!S70="B",lista!$J$37,IF('Página 2'!S70="C",lista!$L$37,lista!$M$37)))</f>
        <v>não se aplica</v>
      </c>
      <c r="F41" t="str">
        <f t="shared" si="0"/>
        <v xml:space="preserve"> </v>
      </c>
    </row>
    <row r="42" spans="2:13">
      <c r="B42" t="str">
        <f>'Página 2'!L71</f>
        <v>Parque  Clube</v>
      </c>
      <c r="D42" t="str">
        <f>IF('Página 2'!S71="A",lista!$H$37,IF('Página 2'!S71="B",lista!$J$37,IF('Página 2'!S71="C",lista!$L$37,lista!$M$37)))</f>
        <v>não se aplica</v>
      </c>
      <c r="F42" t="str">
        <f t="shared" si="0"/>
        <v xml:space="preserve"> </v>
      </c>
    </row>
    <row r="43" spans="2:13">
      <c r="B43" t="str">
        <f>'Página 2'!L73</f>
        <v>Rede de Saúde</v>
      </c>
      <c r="D43" t="str">
        <f>IF('Página 2'!S73="A",lista!$H$37,IF('Página 2'!S73="B",lista!$J$37,IF('Página 2'!S73="C",lista!$L$37,lista!$M$37)))</f>
        <v>não se aplica</v>
      </c>
      <c r="F43" t="str">
        <f t="shared" si="0"/>
        <v xml:space="preserve"> </v>
      </c>
    </row>
    <row r="44" spans="2:13">
      <c r="B44" t="str">
        <f>'Página 2'!V70</f>
        <v>Shopping Center</v>
      </c>
      <c r="D44" t="str">
        <f>IF('Página 2'!AC70="A",lista!$H$37,IF('Página 2'!AC70="B",lista!$J$37,IF('Página 2'!AC70="C",lista!$L$37,lista!$M$37)))</f>
        <v>não se aplica</v>
      </c>
      <c r="F44" t="str">
        <f t="shared" si="0"/>
        <v xml:space="preserve"> </v>
      </c>
    </row>
    <row r="45" spans="2:13">
      <c r="B45" t="str">
        <f>'Página 2'!V71</f>
        <v>Rede de Segurança</v>
      </c>
      <c r="D45" t="str">
        <f>IF('Página 2'!AC71="A",lista!$H$37,IF('Página 2'!AC71="B",lista!$J$37,IF('Página 2'!AC71="C",lista!$L$37,lista!$M$37)))</f>
        <v>não se aplica</v>
      </c>
      <c r="F45" t="str">
        <f t="shared" si="0"/>
        <v xml:space="preserve"> </v>
      </c>
    </row>
    <row r="46" spans="2:13">
      <c r="B46">
        <f>'Página 2'!V73</f>
        <v>0</v>
      </c>
      <c r="D46" t="str">
        <f>IF('Página 2'!AC73="A",lista!$H$37,IF('Página 2'!AC73="B",lista!$J$37,IF('Página 2'!AC73="C",lista!$L$37,lista!$M$37)))</f>
        <v>não se aplica</v>
      </c>
      <c r="F46" t="str">
        <f t="shared" si="0"/>
        <v xml:space="preserve"> </v>
      </c>
    </row>
    <row r="49" spans="2:4">
      <c r="B49" s="1021" t="s">
        <v>668</v>
      </c>
      <c r="C49" s="1022"/>
      <c r="D49" s="1023"/>
    </row>
    <row r="50" spans="2:4">
      <c r="B50" t="str">
        <f>IF('Página 2'!I77="x",'Página 2'!B77,"")</f>
        <v/>
      </c>
    </row>
    <row r="51" spans="2:4">
      <c r="B51" t="str">
        <f>IF('Página 2'!I78="x",'Página 2'!B78,"")</f>
        <v/>
      </c>
    </row>
    <row r="52" spans="2:4">
      <c r="B52" t="str">
        <f>IF('Página 2'!I79="x",'Página 2'!B79,"")</f>
        <v/>
      </c>
    </row>
    <row r="53" spans="2:4">
      <c r="B53" t="str">
        <f>IF('Página 2'!S77="x",'Página 2'!L77,"")</f>
        <v>favela</v>
      </c>
    </row>
    <row r="54" spans="2:4">
      <c r="B54" t="str">
        <f>IF('Página 2'!S78="x",'Página 2'!L78,"")</f>
        <v/>
      </c>
    </row>
    <row r="55" spans="2:4">
      <c r="B55" t="str">
        <f>IF('Página 2'!S79="x",'Página 2'!L79,"")</f>
        <v/>
      </c>
    </row>
    <row r="56" spans="2:4">
      <c r="B56" t="str">
        <f>IF('Página 2'!AC77="x",'Página 2'!V77,"")</f>
        <v/>
      </c>
    </row>
    <row r="57" spans="2:4">
      <c r="B57" t="str">
        <f>IF('Página 2'!AC78="x",'Página 2'!V78,"")</f>
        <v/>
      </c>
    </row>
    <row r="58" spans="2:4">
      <c r="B58" t="str">
        <f>IF('Página 2'!AC79="x",'Página 2'!V79,"")</f>
        <v/>
      </c>
    </row>
  </sheetData>
  <dataConsolidate/>
  <mergeCells count="1">
    <mergeCell ref="B49:D49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opLeftCell="A25" zoomScale="90" zoomScaleNormal="90" zoomScaleSheetLayoutView="55" workbookViewId="0">
      <selection activeCell="C32" sqref="C32"/>
    </sheetView>
  </sheetViews>
  <sheetFormatPr defaultRowHeight="21"/>
  <cols>
    <col min="1" max="1" width="17" style="348" customWidth="1"/>
    <col min="2" max="3" width="65.42578125" style="347" customWidth="1"/>
    <col min="4" max="4" width="9.140625" style="348"/>
    <col min="5" max="5" width="43" style="352" bestFit="1" customWidth="1"/>
    <col min="6" max="6" width="22.85546875" style="352" bestFit="1" customWidth="1"/>
    <col min="7" max="7" width="50.28515625" style="352" customWidth="1"/>
    <col min="8" max="8" width="76" style="352" bestFit="1" customWidth="1"/>
    <col min="9" max="16384" width="9.140625" style="348"/>
  </cols>
  <sheetData>
    <row r="1" spans="2:8" ht="21.75" thickBot="1">
      <c r="E1" s="349" t="s">
        <v>470</v>
      </c>
      <c r="F1" s="349" t="s">
        <v>471</v>
      </c>
      <c r="G1" s="349" t="s">
        <v>472</v>
      </c>
      <c r="H1" s="349" t="s">
        <v>473</v>
      </c>
    </row>
    <row r="2" spans="2:8">
      <c r="B2" s="350" t="s">
        <v>474</v>
      </c>
      <c r="C2" s="351"/>
      <c r="E2" s="352" t="s">
        <v>475</v>
      </c>
      <c r="F2" s="352" t="s">
        <v>476</v>
      </c>
      <c r="G2" s="352" t="s">
        <v>477</v>
      </c>
    </row>
    <row r="3" spans="2:8" ht="21.75" thickBot="1">
      <c r="B3" s="353" t="s">
        <v>478</v>
      </c>
      <c r="C3" s="351"/>
      <c r="E3" s="352" t="s">
        <v>479</v>
      </c>
      <c r="F3" s="352" t="s">
        <v>480</v>
      </c>
      <c r="G3" s="352" t="s">
        <v>481</v>
      </c>
    </row>
    <row r="4" spans="2:8">
      <c r="B4" s="350" t="s">
        <v>482</v>
      </c>
      <c r="C4" s="351"/>
      <c r="E4" s="352" t="s">
        <v>483</v>
      </c>
      <c r="F4" s="352" t="s">
        <v>480</v>
      </c>
      <c r="G4" s="352" t="s">
        <v>484</v>
      </c>
    </row>
    <row r="5" spans="2:8" s="354" customFormat="1" ht="21.75" thickBot="1">
      <c r="B5" s="1024" t="s">
        <v>278</v>
      </c>
      <c r="C5" s="1024" t="s">
        <v>485</v>
      </c>
      <c r="E5" s="352"/>
      <c r="F5" s="352"/>
      <c r="G5" s="352"/>
      <c r="H5" s="352"/>
    </row>
    <row r="6" spans="2:8" s="354" customFormat="1" ht="21.75" thickBot="1">
      <c r="B6" s="1025"/>
      <c r="C6" s="1025"/>
      <c r="E6" s="352"/>
      <c r="F6" s="352"/>
      <c r="G6" s="352"/>
      <c r="H6" s="352"/>
    </row>
    <row r="7" spans="2:8">
      <c r="B7" s="355" t="s">
        <v>158</v>
      </c>
      <c r="C7" s="356"/>
      <c r="E7" s="352" t="s">
        <v>486</v>
      </c>
      <c r="F7" s="352" t="s">
        <v>487</v>
      </c>
    </row>
    <row r="8" spans="2:8">
      <c r="B8" s="357" t="s">
        <v>281</v>
      </c>
      <c r="C8" s="351"/>
      <c r="E8" s="352" t="s">
        <v>488</v>
      </c>
      <c r="F8" s="352" t="s">
        <v>489</v>
      </c>
    </row>
    <row r="9" spans="2:8">
      <c r="B9" s="357" t="s">
        <v>282</v>
      </c>
      <c r="C9" s="351"/>
      <c r="E9" s="352" t="s">
        <v>490</v>
      </c>
      <c r="F9" s="352" t="s">
        <v>489</v>
      </c>
    </row>
    <row r="10" spans="2:8">
      <c r="B10" s="357" t="s">
        <v>283</v>
      </c>
      <c r="C10" s="351"/>
      <c r="E10" s="352" t="s">
        <v>491</v>
      </c>
      <c r="F10" s="352" t="s">
        <v>489</v>
      </c>
    </row>
    <row r="11" spans="2:8">
      <c r="B11" s="357" t="s">
        <v>33</v>
      </c>
      <c r="C11" s="351"/>
      <c r="E11" s="352" t="s">
        <v>33</v>
      </c>
      <c r="F11" s="352" t="s">
        <v>492</v>
      </c>
    </row>
    <row r="12" spans="2:8" ht="21.75" thickBot="1">
      <c r="B12" s="358" t="s">
        <v>16</v>
      </c>
      <c r="C12" s="351"/>
      <c r="E12" s="352" t="s">
        <v>16</v>
      </c>
      <c r="F12" s="352" t="s">
        <v>493</v>
      </c>
    </row>
    <row r="13" spans="2:8" s="354" customFormat="1" ht="21.75" thickBot="1">
      <c r="B13" s="359" t="s">
        <v>284</v>
      </c>
      <c r="C13" s="359"/>
      <c r="E13" s="352"/>
      <c r="F13" s="352"/>
      <c r="G13" s="352"/>
      <c r="H13" s="352"/>
    </row>
    <row r="14" spans="2:8" ht="42">
      <c r="B14" s="350" t="s">
        <v>494</v>
      </c>
      <c r="C14" s="351" t="s">
        <v>495</v>
      </c>
      <c r="E14" s="352" t="s">
        <v>496</v>
      </c>
      <c r="F14" s="352" t="s">
        <v>489</v>
      </c>
      <c r="G14" s="352" t="s">
        <v>497</v>
      </c>
      <c r="H14" s="352" t="s">
        <v>498</v>
      </c>
    </row>
    <row r="15" spans="2:8" ht="63">
      <c r="B15" s="353" t="s">
        <v>499</v>
      </c>
      <c r="C15" s="351" t="s">
        <v>500</v>
      </c>
      <c r="E15" s="352" t="s">
        <v>501</v>
      </c>
      <c r="F15" s="352" t="s">
        <v>502</v>
      </c>
      <c r="G15" s="352" t="s">
        <v>503</v>
      </c>
      <c r="H15" s="352" t="s">
        <v>504</v>
      </c>
    </row>
    <row r="16" spans="2:8" ht="54.75" customHeight="1">
      <c r="B16" s="360"/>
      <c r="C16" s="351"/>
      <c r="E16" s="352" t="s">
        <v>505</v>
      </c>
      <c r="F16" s="352" t="s">
        <v>502</v>
      </c>
      <c r="G16" s="352" t="s">
        <v>506</v>
      </c>
      <c r="H16" s="352" t="s">
        <v>504</v>
      </c>
    </row>
    <row r="17" spans="1:8">
      <c r="B17" s="360"/>
      <c r="C17" s="351"/>
      <c r="E17" s="352" t="s">
        <v>507</v>
      </c>
      <c r="F17" s="352" t="s">
        <v>502</v>
      </c>
      <c r="G17" s="352" t="s">
        <v>508</v>
      </c>
      <c r="H17" s="352" t="s">
        <v>504</v>
      </c>
    </row>
    <row r="18" spans="1:8">
      <c r="B18" s="360"/>
      <c r="C18" s="351"/>
      <c r="E18" s="352" t="s">
        <v>509</v>
      </c>
      <c r="F18" s="352" t="s">
        <v>502</v>
      </c>
      <c r="G18" s="352" t="s">
        <v>510</v>
      </c>
      <c r="H18" s="352" t="s">
        <v>504</v>
      </c>
    </row>
    <row r="19" spans="1:8" s="354" customFormat="1">
      <c r="B19" s="360"/>
      <c r="C19" s="351"/>
      <c r="E19" s="352" t="s">
        <v>511</v>
      </c>
      <c r="F19" s="352" t="s">
        <v>502</v>
      </c>
      <c r="G19" s="352" t="s">
        <v>512</v>
      </c>
      <c r="H19" s="352" t="s">
        <v>504</v>
      </c>
    </row>
    <row r="20" spans="1:8">
      <c r="B20" s="360"/>
      <c r="C20" s="351"/>
      <c r="E20" s="352" t="s">
        <v>513</v>
      </c>
      <c r="F20" s="352" t="s">
        <v>502</v>
      </c>
      <c r="G20" s="352" t="s">
        <v>514</v>
      </c>
      <c r="H20" s="352" t="s">
        <v>504</v>
      </c>
    </row>
    <row r="21" spans="1:8">
      <c r="B21" s="360"/>
      <c r="C21" s="351"/>
      <c r="E21" s="352" t="s">
        <v>515</v>
      </c>
      <c r="F21" s="352" t="s">
        <v>502</v>
      </c>
      <c r="G21" s="352" t="s">
        <v>516</v>
      </c>
      <c r="H21" s="352" t="s">
        <v>504</v>
      </c>
    </row>
    <row r="22" spans="1:8">
      <c r="B22" s="360"/>
      <c r="C22" s="351"/>
      <c r="E22" s="352" t="s">
        <v>517</v>
      </c>
      <c r="F22" s="352" t="s">
        <v>502</v>
      </c>
      <c r="G22" s="352" t="s">
        <v>518</v>
      </c>
      <c r="H22" s="352" t="s">
        <v>504</v>
      </c>
    </row>
    <row r="23" spans="1:8" ht="42.75" thickBot="1">
      <c r="B23" s="361" t="s">
        <v>519</v>
      </c>
      <c r="C23" s="351" t="s">
        <v>520</v>
      </c>
      <c r="E23" s="352" t="s">
        <v>521</v>
      </c>
      <c r="F23" s="352" t="s">
        <v>502</v>
      </c>
      <c r="G23" s="352" t="s">
        <v>522</v>
      </c>
      <c r="H23" s="352" t="s">
        <v>504</v>
      </c>
    </row>
    <row r="24" spans="1:8" s="354" customFormat="1" ht="21.75" thickBot="1">
      <c r="B24" s="361"/>
      <c r="C24" s="351"/>
      <c r="E24" s="352" t="s">
        <v>523</v>
      </c>
      <c r="F24" s="352" t="s">
        <v>502</v>
      </c>
      <c r="G24" s="352" t="s">
        <v>524</v>
      </c>
      <c r="H24" s="352" t="s">
        <v>504</v>
      </c>
    </row>
    <row r="25" spans="1:8" ht="21.75" thickBot="1">
      <c r="B25" s="361"/>
      <c r="C25" s="351"/>
      <c r="E25" s="352" t="s">
        <v>525</v>
      </c>
      <c r="F25" s="352" t="s">
        <v>502</v>
      </c>
      <c r="G25" s="352" t="s">
        <v>526</v>
      </c>
      <c r="H25" s="352" t="s">
        <v>504</v>
      </c>
    </row>
    <row r="26" spans="1:8" ht="21.75" thickBot="1">
      <c r="B26" s="361"/>
      <c r="C26" s="351"/>
      <c r="E26" s="352" t="s">
        <v>527</v>
      </c>
      <c r="F26" s="352" t="s">
        <v>502</v>
      </c>
      <c r="G26" s="352" t="s">
        <v>528</v>
      </c>
      <c r="H26" s="352" t="s">
        <v>504</v>
      </c>
    </row>
    <row r="27" spans="1:8" ht="21.75" thickBot="1">
      <c r="B27" s="361"/>
      <c r="C27" s="351"/>
      <c r="E27" s="352" t="s">
        <v>529</v>
      </c>
      <c r="F27" s="352" t="s">
        <v>502</v>
      </c>
      <c r="G27" s="352" t="s">
        <v>530</v>
      </c>
      <c r="H27" s="352" t="s">
        <v>504</v>
      </c>
    </row>
    <row r="28" spans="1:8" ht="21.75" thickBot="1">
      <c r="B28" s="361"/>
      <c r="C28" s="351"/>
      <c r="E28" s="352" t="s">
        <v>531</v>
      </c>
      <c r="F28" s="352" t="s">
        <v>502</v>
      </c>
      <c r="G28" s="352" t="s">
        <v>532</v>
      </c>
      <c r="H28" s="352" t="s">
        <v>504</v>
      </c>
    </row>
    <row r="29" spans="1:8" ht="21.75" thickBot="1">
      <c r="B29" s="361"/>
      <c r="C29" s="351"/>
      <c r="E29" s="352" t="s">
        <v>533</v>
      </c>
      <c r="F29" s="352" t="s">
        <v>502</v>
      </c>
      <c r="G29" s="352" t="s">
        <v>534</v>
      </c>
      <c r="H29" s="352" t="s">
        <v>504</v>
      </c>
    </row>
    <row r="30" spans="1:8" ht="21.75" thickBot="1">
      <c r="B30" s="361"/>
      <c r="C30" s="351"/>
      <c r="E30" s="352" t="s">
        <v>535</v>
      </c>
      <c r="F30" s="352" t="s">
        <v>502</v>
      </c>
      <c r="G30" s="352" t="s">
        <v>536</v>
      </c>
      <c r="H30" s="352" t="s">
        <v>504</v>
      </c>
    </row>
    <row r="31" spans="1:8" ht="42.75" thickBot="1">
      <c r="B31" s="361" t="s">
        <v>537</v>
      </c>
      <c r="C31" s="351" t="s">
        <v>538</v>
      </c>
    </row>
    <row r="32" spans="1:8" ht="42.75" thickBot="1">
      <c r="A32" s="348" t="s">
        <v>539</v>
      </c>
      <c r="B32" s="361" t="s">
        <v>540</v>
      </c>
      <c r="C32" s="351" t="s">
        <v>541</v>
      </c>
    </row>
    <row r="33" spans="1:8" ht="21.75" thickBot="1">
      <c r="B33" s="362" t="s">
        <v>542</v>
      </c>
      <c r="C33" s="362"/>
    </row>
    <row r="34" spans="1:8">
      <c r="B34" s="350" t="s">
        <v>290</v>
      </c>
      <c r="C34" s="351" t="s">
        <v>543</v>
      </c>
      <c r="E34" s="352" t="s">
        <v>544</v>
      </c>
      <c r="F34" s="352" t="s">
        <v>489</v>
      </c>
    </row>
    <row r="35" spans="1:8">
      <c r="B35" s="353" t="s">
        <v>19</v>
      </c>
      <c r="C35" s="351" t="s">
        <v>545</v>
      </c>
      <c r="E35" s="352" t="s">
        <v>546</v>
      </c>
      <c r="F35" s="352" t="s">
        <v>489</v>
      </c>
    </row>
    <row r="36" spans="1:8">
      <c r="B36" s="353" t="s">
        <v>298</v>
      </c>
      <c r="C36" s="351" t="s">
        <v>547</v>
      </c>
      <c r="E36" s="352" t="s">
        <v>548</v>
      </c>
      <c r="F36" s="352" t="s">
        <v>549</v>
      </c>
    </row>
    <row r="37" spans="1:8" ht="21.75" thickBot="1">
      <c r="B37" s="353" t="s">
        <v>550</v>
      </c>
      <c r="C37" s="351" t="s">
        <v>551</v>
      </c>
      <c r="E37" s="352" t="s">
        <v>552</v>
      </c>
      <c r="F37" s="352" t="s">
        <v>549</v>
      </c>
    </row>
    <row r="38" spans="1:8" ht="21.75" thickBot="1">
      <c r="B38" s="363" t="s">
        <v>305</v>
      </c>
      <c r="C38" s="363"/>
    </row>
    <row r="39" spans="1:8">
      <c r="B39" s="350" t="s">
        <v>553</v>
      </c>
      <c r="C39" s="351" t="s">
        <v>554</v>
      </c>
      <c r="E39" s="352" t="s">
        <v>555</v>
      </c>
      <c r="F39" s="352" t="s">
        <v>556</v>
      </c>
      <c r="G39" s="352" t="s">
        <v>557</v>
      </c>
      <c r="H39" s="352" t="s">
        <v>558</v>
      </c>
    </row>
    <row r="40" spans="1:8">
      <c r="B40" s="353" t="s">
        <v>559</v>
      </c>
      <c r="C40" s="351" t="s">
        <v>560</v>
      </c>
      <c r="E40" s="352" t="s">
        <v>561</v>
      </c>
      <c r="F40" s="352" t="s">
        <v>562</v>
      </c>
      <c r="G40" s="352" t="s">
        <v>563</v>
      </c>
      <c r="H40" s="352" t="s">
        <v>564</v>
      </c>
    </row>
    <row r="41" spans="1:8">
      <c r="B41" s="353" t="s">
        <v>308</v>
      </c>
      <c r="C41" s="351" t="s">
        <v>565</v>
      </c>
      <c r="E41" s="352" t="s">
        <v>566</v>
      </c>
      <c r="F41" s="352" t="s">
        <v>567</v>
      </c>
    </row>
    <row r="42" spans="1:8">
      <c r="B42" s="353" t="s">
        <v>309</v>
      </c>
      <c r="C42" s="351" t="s">
        <v>568</v>
      </c>
      <c r="E42" s="352" t="s">
        <v>569</v>
      </c>
      <c r="F42" s="352" t="s">
        <v>567</v>
      </c>
    </row>
    <row r="43" spans="1:8">
      <c r="B43" s="353" t="s">
        <v>570</v>
      </c>
      <c r="C43" s="351" t="s">
        <v>565</v>
      </c>
      <c r="E43" s="352" t="s">
        <v>571</v>
      </c>
      <c r="F43" s="352" t="s">
        <v>567</v>
      </c>
    </row>
    <row r="44" spans="1:8" s="354" customFormat="1">
      <c r="B44" s="353" t="s">
        <v>310</v>
      </c>
      <c r="C44" s="351" t="s">
        <v>572</v>
      </c>
      <c r="E44" s="352" t="s">
        <v>573</v>
      </c>
      <c r="F44" s="352" t="s">
        <v>567</v>
      </c>
      <c r="G44" s="352"/>
      <c r="H44" s="352"/>
    </row>
    <row r="45" spans="1:8">
      <c r="A45" s="348" t="s">
        <v>574</v>
      </c>
      <c r="B45" s="353" t="s">
        <v>575</v>
      </c>
      <c r="C45" s="351" t="s">
        <v>576</v>
      </c>
      <c r="E45" s="352" t="s">
        <v>577</v>
      </c>
      <c r="F45" s="352" t="s">
        <v>549</v>
      </c>
    </row>
    <row r="46" spans="1:8">
      <c r="B46" s="353" t="s">
        <v>578</v>
      </c>
      <c r="C46" s="351" t="s">
        <v>579</v>
      </c>
      <c r="E46" s="352" t="s">
        <v>580</v>
      </c>
    </row>
    <row r="47" spans="1:8">
      <c r="B47" s="353" t="s">
        <v>313</v>
      </c>
      <c r="C47" s="351" t="s">
        <v>581</v>
      </c>
      <c r="E47" s="352" t="s">
        <v>582</v>
      </c>
      <c r="F47" s="352" t="s">
        <v>489</v>
      </c>
      <c r="H47" s="352" t="s">
        <v>583</v>
      </c>
    </row>
    <row r="48" spans="1:8">
      <c r="B48" s="353" t="s">
        <v>314</v>
      </c>
      <c r="C48" s="351" t="s">
        <v>584</v>
      </c>
      <c r="E48" s="352" t="s">
        <v>585</v>
      </c>
      <c r="F48" s="352" t="s">
        <v>489</v>
      </c>
      <c r="H48" s="352" t="s">
        <v>583</v>
      </c>
    </row>
    <row r="49" spans="2:8">
      <c r="B49" s="353" t="s">
        <v>315</v>
      </c>
      <c r="C49" s="351" t="s">
        <v>586</v>
      </c>
      <c r="E49" s="352" t="s">
        <v>587</v>
      </c>
      <c r="F49" s="352" t="s">
        <v>489</v>
      </c>
      <c r="G49" s="352" t="s">
        <v>315</v>
      </c>
      <c r="H49" s="352" t="s">
        <v>588</v>
      </c>
    </row>
    <row r="50" spans="2:8">
      <c r="B50" s="353" t="s">
        <v>316</v>
      </c>
      <c r="C50" s="351" t="s">
        <v>565</v>
      </c>
    </row>
    <row r="51" spans="2:8">
      <c r="B51" s="353" t="s">
        <v>317</v>
      </c>
      <c r="C51" s="351" t="s">
        <v>565</v>
      </c>
      <c r="E51" s="352" t="s">
        <v>589</v>
      </c>
      <c r="F51" s="352" t="s">
        <v>567</v>
      </c>
    </row>
    <row r="52" spans="2:8">
      <c r="B52" s="353" t="s">
        <v>318</v>
      </c>
      <c r="C52" s="351" t="s">
        <v>565</v>
      </c>
      <c r="E52" s="352" t="s">
        <v>590</v>
      </c>
      <c r="F52" s="352" t="s">
        <v>567</v>
      </c>
    </row>
    <row r="53" spans="2:8">
      <c r="B53" s="353" t="s">
        <v>319</v>
      </c>
      <c r="C53" s="351" t="s">
        <v>547</v>
      </c>
      <c r="E53" s="352" t="s">
        <v>591</v>
      </c>
      <c r="F53" s="352" t="s">
        <v>592</v>
      </c>
      <c r="G53" s="352" t="s">
        <v>593</v>
      </c>
    </row>
    <row r="54" spans="2:8">
      <c r="B54" s="353" t="s">
        <v>594</v>
      </c>
      <c r="C54" s="351" t="s">
        <v>547</v>
      </c>
      <c r="E54" s="352" t="s">
        <v>595</v>
      </c>
      <c r="F54" s="352" t="s">
        <v>592</v>
      </c>
      <c r="G54" s="352" t="s">
        <v>596</v>
      </c>
    </row>
    <row r="55" spans="2:8">
      <c r="B55" s="353" t="s">
        <v>597</v>
      </c>
      <c r="C55" s="351" t="s">
        <v>547</v>
      </c>
      <c r="E55" s="352" t="s">
        <v>598</v>
      </c>
      <c r="F55" s="352" t="s">
        <v>592</v>
      </c>
      <c r="G55" s="352" t="s">
        <v>599</v>
      </c>
    </row>
    <row r="56" spans="2:8">
      <c r="B56" s="353" t="s">
        <v>600</v>
      </c>
      <c r="C56" s="351" t="s">
        <v>547</v>
      </c>
      <c r="E56" s="352" t="s">
        <v>601</v>
      </c>
      <c r="F56" s="352" t="s">
        <v>592</v>
      </c>
      <c r="G56" s="352" t="s">
        <v>602</v>
      </c>
    </row>
    <row r="57" spans="2:8" ht="21.75" thickBot="1">
      <c r="B57" s="353" t="s">
        <v>324</v>
      </c>
      <c r="C57" s="351" t="s">
        <v>547</v>
      </c>
      <c r="E57" s="352" t="s">
        <v>603</v>
      </c>
      <c r="F57" s="352" t="s">
        <v>592</v>
      </c>
      <c r="G57" s="352" t="s">
        <v>604</v>
      </c>
    </row>
    <row r="58" spans="2:8" ht="63.75" thickBot="1">
      <c r="B58" s="364" t="s">
        <v>605</v>
      </c>
      <c r="C58" s="364"/>
    </row>
    <row r="59" spans="2:8">
      <c r="B59" s="350" t="s">
        <v>606</v>
      </c>
      <c r="C59" s="351" t="s">
        <v>607</v>
      </c>
      <c r="E59" s="352" t="s">
        <v>608</v>
      </c>
      <c r="F59" s="352" t="s">
        <v>489</v>
      </c>
      <c r="G59" s="352" t="s">
        <v>609</v>
      </c>
      <c r="H59" s="352" t="s">
        <v>610</v>
      </c>
    </row>
    <row r="60" spans="2:8">
      <c r="B60" s="353" t="s">
        <v>328</v>
      </c>
      <c r="C60" s="351" t="s">
        <v>565</v>
      </c>
      <c r="E60" s="352" t="s">
        <v>611</v>
      </c>
      <c r="F60" s="352" t="s">
        <v>567</v>
      </c>
      <c r="G60" s="352" t="s">
        <v>612</v>
      </c>
    </row>
    <row r="61" spans="2:8">
      <c r="B61" s="353" t="s">
        <v>613</v>
      </c>
      <c r="C61" s="351" t="s">
        <v>565</v>
      </c>
      <c r="E61" s="352" t="s">
        <v>614</v>
      </c>
      <c r="F61" s="352" t="s">
        <v>567</v>
      </c>
      <c r="G61" s="352" t="s">
        <v>615</v>
      </c>
    </row>
    <row r="62" spans="2:8">
      <c r="B62" s="353" t="s">
        <v>331</v>
      </c>
      <c r="C62" s="351" t="s">
        <v>565</v>
      </c>
      <c r="E62" s="352" t="s">
        <v>616</v>
      </c>
      <c r="F62" s="352" t="s">
        <v>567</v>
      </c>
    </row>
    <row r="63" spans="2:8">
      <c r="B63" s="353" t="s">
        <v>314</v>
      </c>
      <c r="C63" s="351" t="s">
        <v>584</v>
      </c>
      <c r="E63" s="352" t="s">
        <v>617</v>
      </c>
      <c r="F63" s="352" t="s">
        <v>489</v>
      </c>
      <c r="G63" s="352" t="s">
        <v>618</v>
      </c>
      <c r="H63" s="352" t="s">
        <v>619</v>
      </c>
    </row>
    <row r="64" spans="2:8" ht="42">
      <c r="B64" s="353" t="s">
        <v>620</v>
      </c>
      <c r="C64" s="351" t="s">
        <v>621</v>
      </c>
      <c r="E64" s="352" t="s">
        <v>622</v>
      </c>
      <c r="F64" s="352" t="s">
        <v>502</v>
      </c>
      <c r="G64" s="352" t="s">
        <v>623</v>
      </c>
      <c r="H64" s="352" t="s">
        <v>504</v>
      </c>
    </row>
    <row r="65" spans="2:8">
      <c r="B65" s="353"/>
      <c r="C65" s="351"/>
      <c r="E65" s="352" t="s">
        <v>624</v>
      </c>
      <c r="F65" s="352" t="s">
        <v>502</v>
      </c>
      <c r="G65" s="352" t="s">
        <v>625</v>
      </c>
      <c r="H65" s="352" t="s">
        <v>504</v>
      </c>
    </row>
    <row r="66" spans="2:8">
      <c r="B66" s="353"/>
      <c r="C66" s="351"/>
      <c r="E66" s="352" t="s">
        <v>626</v>
      </c>
      <c r="F66" s="352" t="s">
        <v>502</v>
      </c>
      <c r="G66" s="352" t="s">
        <v>627</v>
      </c>
      <c r="H66" s="352" t="s">
        <v>504</v>
      </c>
    </row>
    <row r="67" spans="2:8">
      <c r="B67" s="353"/>
      <c r="C67" s="351"/>
      <c r="E67" s="352" t="s">
        <v>628</v>
      </c>
      <c r="F67" s="352" t="s">
        <v>502</v>
      </c>
      <c r="G67" s="352" t="s">
        <v>629</v>
      </c>
      <c r="H67" s="352" t="s">
        <v>504</v>
      </c>
    </row>
    <row r="68" spans="2:8">
      <c r="B68" s="353"/>
      <c r="C68" s="351"/>
      <c r="E68" s="352" t="s">
        <v>630</v>
      </c>
      <c r="F68" s="352" t="s">
        <v>502</v>
      </c>
      <c r="G68" s="352" t="s">
        <v>631</v>
      </c>
      <c r="H68" s="352" t="s">
        <v>504</v>
      </c>
    </row>
    <row r="69" spans="2:8">
      <c r="B69" s="353"/>
      <c r="C69" s="351"/>
      <c r="E69" s="352" t="s">
        <v>632</v>
      </c>
      <c r="F69" s="352" t="s">
        <v>502</v>
      </c>
      <c r="G69" s="352" t="s">
        <v>633</v>
      </c>
      <c r="H69" s="352" t="s">
        <v>504</v>
      </c>
    </row>
    <row r="70" spans="2:8">
      <c r="B70" s="365" t="s">
        <v>634</v>
      </c>
      <c r="C70" s="351" t="s">
        <v>635</v>
      </c>
      <c r="E70" s="352" t="s">
        <v>636</v>
      </c>
      <c r="F70" s="352" t="s">
        <v>637</v>
      </c>
      <c r="G70" s="352" t="s">
        <v>638</v>
      </c>
    </row>
    <row r="71" spans="2:8">
      <c r="F71" s="348"/>
      <c r="G71" s="348"/>
      <c r="H71" s="348"/>
    </row>
  </sheetData>
  <mergeCells count="2">
    <mergeCell ref="B5:B6"/>
    <mergeCell ref="C5:C6"/>
  </mergeCells>
  <pageMargins left="0.15748031496062992" right="0.15748031496062992" top="0.39370078740157483" bottom="0.39370078740157483" header="1.5748031496062993" footer="1.574803149606299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showGridLines="0" showZeros="0" view="pageBreakPreview" topLeftCell="A31" zoomScaleNormal="100" zoomScaleSheetLayoutView="100" workbookViewId="0">
      <selection activeCell="T31" sqref="T31"/>
    </sheetView>
  </sheetViews>
  <sheetFormatPr defaultRowHeight="16.5" customHeight="1"/>
  <cols>
    <col min="1" max="1" width="1.28515625" style="1" customWidth="1"/>
    <col min="2" max="2" width="10.5703125" style="1" customWidth="1"/>
    <col min="3" max="3" width="14.140625" style="1" customWidth="1"/>
    <col min="4" max="4" width="9.140625" style="1"/>
    <col min="5" max="5" width="5.5703125" style="1" customWidth="1"/>
    <col min="6" max="6" width="6.5703125" style="1" customWidth="1"/>
    <col min="7" max="7" width="12.5703125" style="1" customWidth="1"/>
    <col min="8" max="8" width="9.140625" style="1"/>
    <col min="9" max="9" width="10.140625" style="1" customWidth="1"/>
    <col min="10" max="10" width="2.5703125" style="1" customWidth="1"/>
    <col min="11" max="11" width="1.28515625" style="1" customWidth="1"/>
    <col min="12" max="13" width="2.7109375" style="1" customWidth="1"/>
    <col min="14" max="17" width="9.140625" style="1" hidden="1" customWidth="1"/>
    <col min="18" max="16384" width="9.140625" style="1"/>
  </cols>
  <sheetData>
    <row r="1" spans="1:14" ht="5.25" customHeight="1"/>
    <row r="2" spans="1:14" ht="15" customHeight="1">
      <c r="A2" s="75"/>
      <c r="B2" s="76"/>
      <c r="C2" s="76"/>
      <c r="D2" s="915"/>
      <c r="E2" s="915"/>
      <c r="F2" s="915"/>
      <c r="G2" s="915"/>
      <c r="H2" s="920"/>
      <c r="I2" s="920"/>
      <c r="J2" s="77"/>
      <c r="K2" s="78"/>
    </row>
    <row r="3" spans="1:14" ht="12" customHeight="1">
      <c r="A3" s="79"/>
      <c r="H3" s="919"/>
      <c r="I3" s="919"/>
      <c r="J3" s="10"/>
      <c r="K3" s="80"/>
      <c r="L3" s="70"/>
      <c r="N3" s="1" t="s">
        <v>25</v>
      </c>
    </row>
    <row r="4" spans="1:14" ht="12" customHeight="1">
      <c r="A4" s="81"/>
      <c r="E4" s="924" t="s">
        <v>258</v>
      </c>
      <c r="F4" s="925"/>
      <c r="G4" s="925"/>
      <c r="H4" s="925"/>
      <c r="I4" s="925"/>
      <c r="J4" s="926"/>
      <c r="K4" s="82"/>
      <c r="N4" s="1" t="s">
        <v>22</v>
      </c>
    </row>
    <row r="5" spans="1:14" ht="6" customHeight="1">
      <c r="A5" s="81"/>
      <c r="K5" s="82"/>
      <c r="N5" s="1" t="s">
        <v>23</v>
      </c>
    </row>
    <row r="6" spans="1:14" ht="12" customHeight="1">
      <c r="A6" s="81"/>
      <c r="B6" s="1014" t="s">
        <v>157</v>
      </c>
      <c r="C6" s="1015"/>
      <c r="D6" s="1015"/>
      <c r="E6" s="1015"/>
      <c r="F6" s="1015"/>
      <c r="G6" s="1016"/>
      <c r="H6" s="909" t="s">
        <v>26</v>
      </c>
      <c r="I6" s="914"/>
      <c r="J6" s="910"/>
      <c r="K6" s="82"/>
      <c r="N6" s="1" t="s">
        <v>44</v>
      </c>
    </row>
    <row r="7" spans="1:14" ht="16.5" customHeight="1">
      <c r="A7" s="81"/>
      <c r="B7" s="1009" t="str">
        <f>Fotos!B6</f>
        <v>Carlos Augusto Silva Canil</v>
      </c>
      <c r="C7" s="1010"/>
      <c r="D7" s="1010"/>
      <c r="E7" s="1010"/>
      <c r="F7" s="1010"/>
      <c r="G7" s="1010"/>
      <c r="H7" s="1011" t="str">
        <f>Fotos!H6</f>
        <v>000.409.717-32</v>
      </c>
      <c r="I7" s="1012"/>
      <c r="J7" s="1013"/>
      <c r="K7" s="82"/>
      <c r="N7" s="1" t="s">
        <v>45</v>
      </c>
    </row>
    <row r="8" spans="1:14" ht="4.5" customHeight="1">
      <c r="A8" s="81"/>
      <c r="K8" s="82"/>
      <c r="N8" s="1" t="s">
        <v>24</v>
      </c>
    </row>
    <row r="9" spans="1:14" ht="12" customHeight="1">
      <c r="A9" s="81"/>
      <c r="B9" s="927" t="s">
        <v>158</v>
      </c>
      <c r="C9" s="927"/>
      <c r="D9" s="927"/>
      <c r="E9" s="927"/>
      <c r="F9" s="927"/>
      <c r="G9" s="396" t="s">
        <v>32</v>
      </c>
      <c r="H9" s="911" t="s">
        <v>64</v>
      </c>
      <c r="I9" s="912"/>
      <c r="J9" s="913"/>
      <c r="K9" s="82"/>
      <c r="N9" s="1" t="s">
        <v>46</v>
      </c>
    </row>
    <row r="10" spans="1:14" ht="16.5" customHeight="1">
      <c r="A10" s="81"/>
      <c r="B10" s="1017" t="str">
        <f>Fotos!B9</f>
        <v>Rua Cardeal Montini</v>
      </c>
      <c r="C10" s="1017">
        <f>Fotos!C9</f>
        <v>0</v>
      </c>
      <c r="D10" s="1017">
        <f>Fotos!D9</f>
        <v>0</v>
      </c>
      <c r="E10" s="1017">
        <f>Fotos!E9</f>
        <v>0</v>
      </c>
      <c r="F10" s="1017">
        <f>Fotos!F9</f>
        <v>0</v>
      </c>
      <c r="G10" s="397">
        <f>Fotos!G9</f>
        <v>0</v>
      </c>
      <c r="H10" s="1011">
        <f>Fotos!H9</f>
        <v>0</v>
      </c>
      <c r="I10" s="1012">
        <f>Fotos!I9</f>
        <v>0</v>
      </c>
      <c r="J10" s="1013">
        <f>Fotos!J9</f>
        <v>0</v>
      </c>
      <c r="K10" s="82"/>
      <c r="N10" s="1" t="s">
        <v>47</v>
      </c>
    </row>
    <row r="11" spans="1:14" ht="12" customHeight="1">
      <c r="A11" s="81"/>
      <c r="B11" s="909" t="s">
        <v>0</v>
      </c>
      <c r="C11" s="910"/>
      <c r="D11" s="909" t="s">
        <v>1</v>
      </c>
      <c r="E11" s="914"/>
      <c r="F11" s="910"/>
      <c r="G11" s="396" t="s">
        <v>33</v>
      </c>
      <c r="H11" s="911" t="s">
        <v>16</v>
      </c>
      <c r="I11" s="912"/>
      <c r="J11" s="913"/>
      <c r="K11" s="82"/>
    </row>
    <row r="12" spans="1:14" ht="16.5" customHeight="1">
      <c r="A12" s="81"/>
      <c r="B12" s="1011" t="str">
        <f>Fotos!B11</f>
        <v>Jardim Santa Catarina</v>
      </c>
      <c r="C12" s="1013">
        <f>Fotos!C11</f>
        <v>0</v>
      </c>
      <c r="D12" s="1011" t="str">
        <f>Fotos!D11</f>
        <v>São Gonçalo</v>
      </c>
      <c r="E12" s="1012">
        <f>Fotos!E11</f>
        <v>0</v>
      </c>
      <c r="F12" s="1013">
        <f>Fotos!F11</f>
        <v>0</v>
      </c>
      <c r="G12" s="397" t="str">
        <f>Fotos!G11</f>
        <v>RJ</v>
      </c>
      <c r="H12" s="1011" t="str">
        <f>Fotos!H11</f>
        <v>24715-406</v>
      </c>
      <c r="I12" s="1012">
        <f>Fotos!I11</f>
        <v>0</v>
      </c>
      <c r="J12" s="1013">
        <f>Fotos!J11</f>
        <v>0</v>
      </c>
      <c r="K12" s="82"/>
      <c r="N12" s="1" t="s">
        <v>48</v>
      </c>
    </row>
    <row r="13" spans="1:14" ht="4.5" customHeight="1">
      <c r="A13" s="81"/>
      <c r="K13" s="82"/>
      <c r="N13" s="1" t="s">
        <v>49</v>
      </c>
    </row>
    <row r="14" spans="1:14" ht="8.25" customHeight="1">
      <c r="A14" s="81"/>
      <c r="B14" s="8"/>
      <c r="C14" s="8"/>
      <c r="D14" s="8"/>
      <c r="E14" s="8"/>
      <c r="F14" s="8"/>
      <c r="G14" s="8"/>
      <c r="H14" s="8"/>
      <c r="I14" s="8"/>
      <c r="J14" s="8"/>
      <c r="K14" s="82"/>
      <c r="N14" s="1" t="s">
        <v>51</v>
      </c>
    </row>
    <row r="15" spans="1:14" ht="16.5" customHeight="1">
      <c r="A15" s="81"/>
      <c r="B15" s="931"/>
      <c r="C15" s="932"/>
      <c r="D15" s="932"/>
      <c r="E15" s="932"/>
      <c r="F15" s="932"/>
      <c r="G15" s="932"/>
      <c r="H15" s="932"/>
      <c r="I15" s="932"/>
      <c r="J15" s="933"/>
      <c r="K15" s="82"/>
      <c r="N15" s="1" t="s">
        <v>50</v>
      </c>
    </row>
    <row r="16" spans="1:14" ht="16.5" customHeight="1">
      <c r="A16" s="81"/>
      <c r="B16" s="934"/>
      <c r="C16" s="935"/>
      <c r="D16" s="935"/>
      <c r="E16" s="935"/>
      <c r="F16" s="935"/>
      <c r="G16" s="935"/>
      <c r="H16" s="935"/>
      <c r="I16" s="935"/>
      <c r="J16" s="936"/>
      <c r="K16" s="82"/>
      <c r="N16" s="1" t="s">
        <v>52</v>
      </c>
    </row>
    <row r="17" spans="1:14" ht="16.5" customHeight="1">
      <c r="A17" s="81"/>
      <c r="B17" s="934"/>
      <c r="C17" s="935"/>
      <c r="D17" s="935"/>
      <c r="E17" s="935"/>
      <c r="F17" s="935"/>
      <c r="G17" s="935"/>
      <c r="H17" s="935"/>
      <c r="I17" s="935"/>
      <c r="J17" s="936"/>
      <c r="K17" s="82"/>
      <c r="N17" s="1" t="s">
        <v>53</v>
      </c>
    </row>
    <row r="18" spans="1:14" ht="16.5" customHeight="1">
      <c r="A18" s="81"/>
      <c r="B18" s="934"/>
      <c r="C18" s="935"/>
      <c r="D18" s="935"/>
      <c r="E18" s="935"/>
      <c r="F18" s="935"/>
      <c r="G18" s="935"/>
      <c r="H18" s="935"/>
      <c r="I18" s="935"/>
      <c r="J18" s="936"/>
      <c r="K18" s="82"/>
      <c r="N18" s="1" t="s">
        <v>62</v>
      </c>
    </row>
    <row r="19" spans="1:14" ht="16.5" customHeight="1">
      <c r="A19" s="81"/>
      <c r="B19" s="934"/>
      <c r="C19" s="935"/>
      <c r="D19" s="935"/>
      <c r="E19" s="935"/>
      <c r="F19" s="935"/>
      <c r="G19" s="935"/>
      <c r="H19" s="935"/>
      <c r="I19" s="935"/>
      <c r="J19" s="936"/>
      <c r="K19" s="82"/>
      <c r="N19" s="1" t="s">
        <v>27</v>
      </c>
    </row>
    <row r="20" spans="1:14" ht="16.5" customHeight="1">
      <c r="A20" s="81"/>
      <c r="B20" s="934"/>
      <c r="C20" s="935"/>
      <c r="D20" s="935"/>
      <c r="E20" s="935"/>
      <c r="F20" s="935"/>
      <c r="G20" s="935"/>
      <c r="H20" s="935"/>
      <c r="I20" s="935"/>
      <c r="J20" s="936"/>
      <c r="K20" s="82"/>
      <c r="N20" s="1" t="s">
        <v>63</v>
      </c>
    </row>
    <row r="21" spans="1:14" ht="16.5" customHeight="1">
      <c r="A21" s="81"/>
      <c r="B21" s="934"/>
      <c r="C21" s="935"/>
      <c r="D21" s="935"/>
      <c r="E21" s="935"/>
      <c r="F21" s="935"/>
      <c r="G21" s="935"/>
      <c r="H21" s="935"/>
      <c r="I21" s="935"/>
      <c r="J21" s="936"/>
      <c r="K21" s="82"/>
      <c r="N21" s="1" t="s">
        <v>28</v>
      </c>
    </row>
    <row r="22" spans="1:14" ht="16.5" customHeight="1">
      <c r="A22" s="81"/>
      <c r="B22" s="934"/>
      <c r="C22" s="935"/>
      <c r="D22" s="935"/>
      <c r="E22" s="935"/>
      <c r="F22" s="935"/>
      <c r="G22" s="935"/>
      <c r="H22" s="935"/>
      <c r="I22" s="935"/>
      <c r="J22" s="936"/>
      <c r="K22" s="82"/>
      <c r="N22" s="1" t="s">
        <v>30</v>
      </c>
    </row>
    <row r="23" spans="1:14" ht="16.5" customHeight="1">
      <c r="A23" s="81"/>
      <c r="B23" s="934"/>
      <c r="C23" s="935"/>
      <c r="D23" s="935"/>
      <c r="E23" s="935"/>
      <c r="F23" s="935"/>
      <c r="G23" s="935"/>
      <c r="H23" s="935"/>
      <c r="I23" s="935"/>
      <c r="J23" s="936"/>
      <c r="K23" s="82"/>
      <c r="N23" s="1" t="s">
        <v>29</v>
      </c>
    </row>
    <row r="24" spans="1:14" ht="16.5" customHeight="1">
      <c r="A24" s="81"/>
      <c r="B24" s="934"/>
      <c r="C24" s="935"/>
      <c r="D24" s="935"/>
      <c r="E24" s="935"/>
      <c r="F24" s="935"/>
      <c r="G24" s="935"/>
      <c r="H24" s="935"/>
      <c r="I24" s="935"/>
      <c r="J24" s="936"/>
      <c r="K24" s="82"/>
    </row>
    <row r="25" spans="1:14" ht="13.5" customHeight="1">
      <c r="A25" s="81"/>
      <c r="B25" s="934"/>
      <c r="C25" s="935"/>
      <c r="D25" s="935"/>
      <c r="E25" s="935"/>
      <c r="F25" s="935"/>
      <c r="G25" s="935"/>
      <c r="H25" s="935"/>
      <c r="I25" s="935"/>
      <c r="J25" s="936"/>
      <c r="K25" s="82"/>
      <c r="N25" s="1" t="s">
        <v>8</v>
      </c>
    </row>
    <row r="26" spans="1:14" ht="16.5" customHeight="1">
      <c r="A26" s="81"/>
      <c r="B26" s="934"/>
      <c r="C26" s="935"/>
      <c r="D26" s="935"/>
      <c r="E26" s="935"/>
      <c r="F26" s="935"/>
      <c r="G26" s="935"/>
      <c r="H26" s="935"/>
      <c r="I26" s="935"/>
      <c r="J26" s="936"/>
      <c r="K26" s="82"/>
      <c r="N26" s="1" t="s">
        <v>54</v>
      </c>
    </row>
    <row r="27" spans="1:14" ht="16.5" customHeight="1">
      <c r="A27" s="81"/>
      <c r="B27" s="934"/>
      <c r="C27" s="935"/>
      <c r="D27" s="935"/>
      <c r="E27" s="935"/>
      <c r="F27" s="935"/>
      <c r="G27" s="935"/>
      <c r="H27" s="935"/>
      <c r="I27" s="935"/>
      <c r="J27" s="936"/>
      <c r="K27" s="82"/>
    </row>
    <row r="28" spans="1:14" ht="16.5" customHeight="1">
      <c r="A28" s="81"/>
      <c r="B28" s="934"/>
      <c r="C28" s="935"/>
      <c r="D28" s="935"/>
      <c r="E28" s="935"/>
      <c r="F28" s="935"/>
      <c r="G28" s="935"/>
      <c r="H28" s="935"/>
      <c r="I28" s="935"/>
      <c r="J28" s="936"/>
      <c r="K28" s="82"/>
      <c r="N28" s="1" t="s">
        <v>4</v>
      </c>
    </row>
    <row r="29" spans="1:14" ht="16.5" customHeight="1">
      <c r="A29" s="81"/>
      <c r="B29" s="934"/>
      <c r="C29" s="935"/>
      <c r="D29" s="935"/>
      <c r="E29" s="935"/>
      <c r="F29" s="935"/>
      <c r="G29" s="935"/>
      <c r="H29" s="935"/>
      <c r="I29" s="935"/>
      <c r="J29" s="936"/>
      <c r="K29" s="82"/>
      <c r="N29" s="1" t="s">
        <v>55</v>
      </c>
    </row>
    <row r="30" spans="1:14" ht="16.5" customHeight="1">
      <c r="A30" s="81"/>
      <c r="B30" s="934"/>
      <c r="C30" s="935"/>
      <c r="D30" s="935"/>
      <c r="E30" s="935"/>
      <c r="F30" s="935"/>
      <c r="G30" s="935"/>
      <c r="H30" s="935"/>
      <c r="I30" s="935"/>
      <c r="J30" s="936"/>
      <c r="K30" s="82"/>
      <c r="N30" s="1" t="s">
        <v>3</v>
      </c>
    </row>
    <row r="31" spans="1:14" ht="16.5" customHeight="1">
      <c r="A31" s="81"/>
      <c r="B31" s="934"/>
      <c r="C31" s="935"/>
      <c r="D31" s="935"/>
      <c r="E31" s="935"/>
      <c r="F31" s="935"/>
      <c r="G31" s="935"/>
      <c r="H31" s="935"/>
      <c r="I31" s="935"/>
      <c r="J31" s="936"/>
      <c r="K31" s="82"/>
    </row>
    <row r="32" spans="1:14" ht="16.5" customHeight="1">
      <c r="A32" s="81"/>
      <c r="B32" s="934"/>
      <c r="C32" s="935"/>
      <c r="D32" s="935"/>
      <c r="E32" s="935"/>
      <c r="F32" s="935"/>
      <c r="G32" s="935"/>
      <c r="H32" s="935"/>
      <c r="I32" s="935"/>
      <c r="J32" s="936"/>
      <c r="K32" s="82"/>
      <c r="N32" s="1" t="s">
        <v>5</v>
      </c>
    </row>
    <row r="33" spans="1:14" ht="16.5" customHeight="1">
      <c r="A33" s="81"/>
      <c r="B33" s="934"/>
      <c r="C33" s="935"/>
      <c r="D33" s="935"/>
      <c r="E33" s="935"/>
      <c r="F33" s="935"/>
      <c r="G33" s="935"/>
      <c r="H33" s="935"/>
      <c r="I33" s="935"/>
      <c r="J33" s="936"/>
      <c r="K33" s="82"/>
      <c r="N33" s="1" t="s">
        <v>56</v>
      </c>
    </row>
    <row r="34" spans="1:14" ht="16.5" customHeight="1">
      <c r="A34" s="81"/>
      <c r="B34" s="934"/>
      <c r="C34" s="935"/>
      <c r="D34" s="935"/>
      <c r="E34" s="935"/>
      <c r="F34" s="935"/>
      <c r="G34" s="935"/>
      <c r="H34" s="935"/>
      <c r="I34" s="935"/>
      <c r="J34" s="936"/>
      <c r="K34" s="82"/>
      <c r="N34" s="1" t="s">
        <v>6</v>
      </c>
    </row>
    <row r="35" spans="1:14" ht="16.5" customHeight="1">
      <c r="A35" s="81"/>
      <c r="B35" s="934"/>
      <c r="C35" s="935"/>
      <c r="D35" s="935"/>
      <c r="E35" s="935"/>
      <c r="F35" s="935"/>
      <c r="G35" s="935"/>
      <c r="H35" s="935"/>
      <c r="I35" s="935"/>
      <c r="J35" s="936"/>
      <c r="K35" s="82"/>
      <c r="N35" s="1" t="s">
        <v>57</v>
      </c>
    </row>
    <row r="36" spans="1:14" ht="16.5" customHeight="1">
      <c r="A36" s="81"/>
      <c r="B36" s="934"/>
      <c r="C36" s="935"/>
      <c r="D36" s="935"/>
      <c r="E36" s="935"/>
      <c r="F36" s="935"/>
      <c r="G36" s="935"/>
      <c r="H36" s="935"/>
      <c r="I36" s="935"/>
      <c r="J36" s="936"/>
      <c r="K36" s="82"/>
      <c r="N36" s="1" t="s">
        <v>7</v>
      </c>
    </row>
    <row r="37" spans="1:14" ht="16.5" customHeight="1">
      <c r="A37" s="81"/>
      <c r="B37" s="934"/>
      <c r="C37" s="935"/>
      <c r="D37" s="935"/>
      <c r="E37" s="935"/>
      <c r="F37" s="935"/>
      <c r="G37" s="935"/>
      <c r="H37" s="935"/>
      <c r="I37" s="935"/>
      <c r="J37" s="936"/>
      <c r="K37" s="82"/>
    </row>
    <row r="38" spans="1:14" ht="16.5" customHeight="1">
      <c r="A38" s="81"/>
      <c r="B38" s="934"/>
      <c r="C38" s="935"/>
      <c r="D38" s="935"/>
      <c r="E38" s="935"/>
      <c r="F38" s="935"/>
      <c r="G38" s="935"/>
      <c r="H38" s="935"/>
      <c r="I38" s="935"/>
      <c r="J38" s="936"/>
      <c r="K38" s="82"/>
    </row>
    <row r="39" spans="1:14" ht="13.5" customHeight="1">
      <c r="A39" s="81"/>
      <c r="B39" s="934"/>
      <c r="C39" s="935"/>
      <c r="D39" s="935"/>
      <c r="E39" s="935"/>
      <c r="F39" s="935"/>
      <c r="G39" s="935"/>
      <c r="H39" s="935"/>
      <c r="I39" s="935"/>
      <c r="J39" s="936"/>
      <c r="K39" s="82"/>
    </row>
    <row r="40" spans="1:14" ht="16.5" customHeight="1">
      <c r="A40" s="81"/>
      <c r="B40" s="934"/>
      <c r="C40" s="935"/>
      <c r="D40" s="935"/>
      <c r="E40" s="935"/>
      <c r="F40" s="935"/>
      <c r="G40" s="935"/>
      <c r="H40" s="935"/>
      <c r="I40" s="935"/>
      <c r="J40" s="936"/>
      <c r="K40" s="82"/>
      <c r="N40" s="1" t="s">
        <v>58</v>
      </c>
    </row>
    <row r="41" spans="1:14" ht="16.5" customHeight="1">
      <c r="A41" s="81"/>
      <c r="B41" s="934"/>
      <c r="C41" s="935"/>
      <c r="D41" s="935"/>
      <c r="E41" s="935"/>
      <c r="F41" s="935"/>
      <c r="G41" s="935"/>
      <c r="H41" s="935"/>
      <c r="I41" s="935"/>
      <c r="J41" s="936"/>
      <c r="K41" s="82"/>
    </row>
    <row r="42" spans="1:14" ht="16.5" customHeight="1">
      <c r="A42" s="81"/>
      <c r="B42" s="934"/>
      <c r="C42" s="935"/>
      <c r="D42" s="935"/>
      <c r="E42" s="935"/>
      <c r="F42" s="935"/>
      <c r="G42" s="935"/>
      <c r="H42" s="935"/>
      <c r="I42" s="935"/>
      <c r="J42" s="936"/>
      <c r="K42" s="82"/>
      <c r="N42" s="1" t="s">
        <v>59</v>
      </c>
    </row>
    <row r="43" spans="1:14" ht="16.5" customHeight="1">
      <c r="A43" s="81"/>
      <c r="B43" s="934"/>
      <c r="C43" s="935"/>
      <c r="D43" s="935"/>
      <c r="E43" s="935"/>
      <c r="F43" s="935"/>
      <c r="G43" s="935"/>
      <c r="H43" s="935"/>
      <c r="I43" s="935"/>
      <c r="J43" s="936"/>
      <c r="K43" s="82"/>
    </row>
    <row r="44" spans="1:14" ht="16.5" customHeight="1">
      <c r="A44" s="81"/>
      <c r="B44" s="934"/>
      <c r="C44" s="935"/>
      <c r="D44" s="935"/>
      <c r="E44" s="935"/>
      <c r="F44" s="935"/>
      <c r="G44" s="935"/>
      <c r="H44" s="935"/>
      <c r="I44" s="935"/>
      <c r="J44" s="936"/>
      <c r="K44" s="82"/>
      <c r="N44" s="1" t="s">
        <v>60</v>
      </c>
    </row>
    <row r="45" spans="1:14" ht="16.5" customHeight="1">
      <c r="A45" s="81"/>
      <c r="B45" s="934"/>
      <c r="C45" s="935"/>
      <c r="D45" s="935"/>
      <c r="E45" s="935"/>
      <c r="F45" s="935"/>
      <c r="G45" s="935"/>
      <c r="H45" s="935"/>
      <c r="I45" s="935"/>
      <c r="J45" s="936"/>
      <c r="K45" s="82"/>
      <c r="N45" s="1" t="s">
        <v>61</v>
      </c>
    </row>
    <row r="46" spans="1:14" ht="16.5" customHeight="1">
      <c r="A46" s="81"/>
      <c r="B46" s="934"/>
      <c r="C46" s="935"/>
      <c r="D46" s="935"/>
      <c r="E46" s="935"/>
      <c r="F46" s="935"/>
      <c r="G46" s="935"/>
      <c r="H46" s="935"/>
      <c r="I46" s="935"/>
      <c r="J46" s="936"/>
      <c r="K46" s="82"/>
    </row>
    <row r="47" spans="1:14" ht="16.5" customHeight="1">
      <c r="A47" s="81"/>
      <c r="B47" s="934"/>
      <c r="C47" s="935"/>
      <c r="D47" s="935"/>
      <c r="E47" s="935"/>
      <c r="F47" s="935"/>
      <c r="G47" s="935"/>
      <c r="H47" s="935"/>
      <c r="I47" s="935"/>
      <c r="J47" s="936"/>
      <c r="K47" s="82"/>
    </row>
    <row r="48" spans="1:14" ht="16.5" customHeight="1">
      <c r="A48" s="81"/>
      <c r="B48" s="934"/>
      <c r="C48" s="935"/>
      <c r="D48" s="935"/>
      <c r="E48" s="935"/>
      <c r="F48" s="935"/>
      <c r="G48" s="935"/>
      <c r="H48" s="935"/>
      <c r="I48" s="935"/>
      <c r="J48" s="936"/>
      <c r="K48" s="82"/>
    </row>
    <row r="49" spans="1:11" ht="16.5" customHeight="1">
      <c r="A49" s="81"/>
      <c r="B49" s="937"/>
      <c r="C49" s="938"/>
      <c r="D49" s="938"/>
      <c r="E49" s="938"/>
      <c r="F49" s="938"/>
      <c r="G49" s="938"/>
      <c r="H49" s="938"/>
      <c r="I49" s="938"/>
      <c r="J49" s="939"/>
      <c r="K49" s="82"/>
    </row>
    <row r="50" spans="1:11" ht="4.5" customHeight="1">
      <c r="A50" s="83"/>
      <c r="B50" s="140"/>
      <c r="C50" s="140"/>
      <c r="D50" s="140"/>
      <c r="E50" s="140"/>
      <c r="F50" s="140"/>
      <c r="G50" s="140"/>
      <c r="H50" s="140"/>
      <c r="I50" s="140"/>
      <c r="J50" s="140"/>
      <c r="K50" s="85"/>
    </row>
    <row r="51" spans="1:11" ht="16.5" customHeight="1">
      <c r="B51" s="8"/>
      <c r="C51" s="8"/>
      <c r="D51" s="8"/>
      <c r="E51" s="8"/>
      <c r="F51" s="8"/>
      <c r="G51" s="8"/>
      <c r="H51" s="8"/>
      <c r="I51" s="8"/>
      <c r="J51" s="8"/>
    </row>
    <row r="52" spans="1:11" ht="16.5" customHeight="1">
      <c r="B52" s="8"/>
      <c r="C52" s="8"/>
      <c r="D52" s="8"/>
      <c r="E52" s="8"/>
      <c r="F52" s="8"/>
      <c r="G52" s="8"/>
      <c r="H52" s="8"/>
      <c r="I52" s="8"/>
      <c r="J52" s="8"/>
    </row>
    <row r="53" spans="1:11" ht="13.5" customHeight="1">
      <c r="B53" s="8"/>
      <c r="C53" s="8"/>
      <c r="D53" s="8"/>
      <c r="E53" s="8"/>
      <c r="F53" s="8"/>
      <c r="G53" s="8"/>
      <c r="H53" s="8"/>
      <c r="I53" s="8"/>
      <c r="J53" s="8"/>
    </row>
    <row r="54" spans="1:11" ht="16.5" customHeight="1">
      <c r="B54" s="8"/>
      <c r="C54" s="8"/>
      <c r="D54" s="8"/>
      <c r="E54" s="8"/>
      <c r="F54" s="8"/>
      <c r="G54" s="8"/>
      <c r="H54" s="8"/>
      <c r="I54" s="8"/>
      <c r="J54" s="8"/>
    </row>
    <row r="55" spans="1:11" ht="16.5" customHeight="1"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16.5" customHeight="1">
      <c r="B56" s="12"/>
      <c r="C56" s="12"/>
      <c r="D56" s="12"/>
      <c r="E56" s="12"/>
      <c r="F56" s="12"/>
      <c r="G56" s="12"/>
      <c r="H56" s="12"/>
      <c r="I56" s="12"/>
      <c r="J56" s="12"/>
    </row>
    <row r="57" spans="1:11" ht="16.5" customHeight="1">
      <c r="B57" s="11"/>
      <c r="C57" s="11"/>
      <c r="D57" s="11"/>
      <c r="E57" s="11"/>
      <c r="F57" s="11"/>
      <c r="G57" s="11"/>
      <c r="H57" s="11"/>
      <c r="I57" s="11"/>
      <c r="J57" s="13"/>
    </row>
    <row r="58" spans="1:11" ht="16.5" customHeight="1"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16.5" customHeight="1"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16.5" customHeight="1">
      <c r="B60" s="13"/>
      <c r="C60" s="13"/>
      <c r="D60" s="13"/>
      <c r="E60" s="13"/>
      <c r="F60" s="13"/>
      <c r="G60" s="13"/>
      <c r="H60" s="13"/>
      <c r="I60" s="13"/>
      <c r="J60" s="13"/>
    </row>
    <row r="61" spans="1:11" ht="16.5" customHeight="1">
      <c r="B61" s="13"/>
      <c r="C61" s="13"/>
      <c r="D61" s="13"/>
      <c r="E61" s="13"/>
      <c r="F61" s="13"/>
      <c r="G61" s="13"/>
      <c r="H61" s="13"/>
      <c r="I61" s="13"/>
      <c r="J61" s="13"/>
    </row>
  </sheetData>
  <mergeCells count="19">
    <mergeCell ref="D2:G2"/>
    <mergeCell ref="H2:I2"/>
    <mergeCell ref="H3:I3"/>
    <mergeCell ref="E4:J4"/>
    <mergeCell ref="B6:G6"/>
    <mergeCell ref="H6:J6"/>
    <mergeCell ref="B7:G7"/>
    <mergeCell ref="H7:J7"/>
    <mergeCell ref="B9:F9"/>
    <mergeCell ref="H9:J9"/>
    <mergeCell ref="B10:F10"/>
    <mergeCell ref="H10:J10"/>
    <mergeCell ref="B15:J49"/>
    <mergeCell ref="B11:C11"/>
    <mergeCell ref="D11:F11"/>
    <mergeCell ref="H11:J11"/>
    <mergeCell ref="B12:C12"/>
    <mergeCell ref="D12:F12"/>
    <mergeCell ref="H12:J12"/>
  </mergeCells>
  <printOptions horizontalCentered="1" verticalCentered="1"/>
  <pageMargins left="0.31496062992125984" right="0.23622047244094491" top="0.39370078740157483" bottom="0.39370078740157483" header="0" footer="0"/>
  <pageSetup paperSize="9" scale="108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showGridLines="0" showZeros="0" view="pageBreakPreview" topLeftCell="A41" zoomScaleNormal="100" zoomScaleSheetLayoutView="100" workbookViewId="0">
      <selection activeCell="B67" sqref="B67"/>
    </sheetView>
  </sheetViews>
  <sheetFormatPr defaultRowHeight="16.5" customHeight="1"/>
  <cols>
    <col min="1" max="1" width="1.28515625" style="1" customWidth="1"/>
    <col min="2" max="2" width="10.5703125" style="1" customWidth="1"/>
    <col min="3" max="3" width="14.140625" style="1" customWidth="1"/>
    <col min="4" max="4" width="9.140625" style="1"/>
    <col min="5" max="5" width="5.5703125" style="1" customWidth="1"/>
    <col min="6" max="6" width="6.5703125" style="1" customWidth="1"/>
    <col min="7" max="7" width="12.5703125" style="1" customWidth="1"/>
    <col min="8" max="8" width="9.140625" style="1"/>
    <col min="9" max="9" width="10.140625" style="1" customWidth="1"/>
    <col min="10" max="10" width="2.5703125" style="1" customWidth="1"/>
    <col min="11" max="11" width="1.28515625" style="1" customWidth="1"/>
    <col min="12" max="13" width="2.7109375" style="1" customWidth="1"/>
    <col min="14" max="17" width="9.140625" style="1" hidden="1" customWidth="1"/>
    <col min="18" max="16384" width="9.140625" style="1"/>
  </cols>
  <sheetData>
    <row r="1" spans="1:14" ht="5.25" customHeight="1"/>
    <row r="2" spans="1:14" ht="15" customHeight="1">
      <c r="A2" s="75"/>
      <c r="B2" s="76"/>
      <c r="C2" s="76"/>
      <c r="D2" s="915"/>
      <c r="E2" s="915"/>
      <c r="F2" s="915"/>
      <c r="G2" s="915"/>
      <c r="H2" s="920"/>
      <c r="I2" s="920"/>
      <c r="J2" s="77"/>
      <c r="K2" s="78"/>
    </row>
    <row r="3" spans="1:14" ht="12" customHeight="1">
      <c r="A3" s="79"/>
      <c r="H3" s="919"/>
      <c r="I3" s="919"/>
      <c r="J3" s="10"/>
      <c r="K3" s="80"/>
      <c r="L3" s="70"/>
      <c r="N3" s="1" t="s">
        <v>25</v>
      </c>
    </row>
    <row r="4" spans="1:14" ht="12" customHeight="1">
      <c r="A4" s="81"/>
      <c r="E4" s="924" t="s">
        <v>258</v>
      </c>
      <c r="F4" s="925"/>
      <c r="G4" s="925"/>
      <c r="H4" s="925"/>
      <c r="I4" s="925"/>
      <c r="J4" s="926"/>
      <c r="K4" s="82"/>
      <c r="N4" s="1" t="s">
        <v>22</v>
      </c>
    </row>
    <row r="5" spans="1:14" ht="6" customHeight="1">
      <c r="A5" s="81"/>
      <c r="K5" s="82"/>
      <c r="N5" s="1" t="s">
        <v>23</v>
      </c>
    </row>
    <row r="6" spans="1:14" ht="12" customHeight="1">
      <c r="A6" s="81"/>
      <c r="B6" s="1014" t="s">
        <v>157</v>
      </c>
      <c r="C6" s="1015"/>
      <c r="D6" s="1015"/>
      <c r="E6" s="1015"/>
      <c r="F6" s="1015"/>
      <c r="G6" s="1016"/>
      <c r="H6" s="909" t="s">
        <v>26</v>
      </c>
      <c r="I6" s="914"/>
      <c r="J6" s="910"/>
      <c r="K6" s="82"/>
      <c r="N6" s="1" t="s">
        <v>44</v>
      </c>
    </row>
    <row r="7" spans="1:14" ht="16.5" customHeight="1">
      <c r="A7" s="81"/>
      <c r="B7" s="1009" t="str">
        <f>Fotos!B6</f>
        <v>Carlos Augusto Silva Canil</v>
      </c>
      <c r="C7" s="1010"/>
      <c r="D7" s="1010"/>
      <c r="E7" s="1010"/>
      <c r="F7" s="1010"/>
      <c r="G7" s="1010"/>
      <c r="H7" s="1011" t="str">
        <f>Fotos!H6</f>
        <v>000.409.717-32</v>
      </c>
      <c r="I7" s="1012"/>
      <c r="J7" s="1013"/>
      <c r="K7" s="82"/>
      <c r="N7" s="1" t="s">
        <v>45</v>
      </c>
    </row>
    <row r="8" spans="1:14" ht="4.5" customHeight="1">
      <c r="A8" s="81"/>
      <c r="K8" s="82"/>
      <c r="N8" s="1" t="s">
        <v>24</v>
      </c>
    </row>
    <row r="9" spans="1:14" ht="12" customHeight="1">
      <c r="A9" s="81"/>
      <c r="B9" s="927" t="s">
        <v>158</v>
      </c>
      <c r="C9" s="927"/>
      <c r="D9" s="927"/>
      <c r="E9" s="927"/>
      <c r="F9" s="927"/>
      <c r="G9" s="389" t="s">
        <v>32</v>
      </c>
      <c r="H9" s="911" t="s">
        <v>64</v>
      </c>
      <c r="I9" s="912"/>
      <c r="J9" s="913"/>
      <c r="K9" s="82"/>
      <c r="N9" s="1" t="s">
        <v>46</v>
      </c>
    </row>
    <row r="10" spans="1:14" ht="16.5" customHeight="1">
      <c r="A10" s="81"/>
      <c r="B10" s="1017" t="str">
        <f>Fotos!B9</f>
        <v>Rua Cardeal Montini</v>
      </c>
      <c r="C10" s="1017">
        <f>Fotos!C9</f>
        <v>0</v>
      </c>
      <c r="D10" s="1017">
        <f>Fotos!D9</f>
        <v>0</v>
      </c>
      <c r="E10" s="1017">
        <f>Fotos!E9</f>
        <v>0</v>
      </c>
      <c r="F10" s="1017">
        <f>Fotos!F9</f>
        <v>0</v>
      </c>
      <c r="G10" s="390">
        <f>Fotos!G9</f>
        <v>0</v>
      </c>
      <c r="H10" s="1011">
        <f>Fotos!H9</f>
        <v>0</v>
      </c>
      <c r="I10" s="1012">
        <f>Fotos!I9</f>
        <v>0</v>
      </c>
      <c r="J10" s="1013">
        <f>Fotos!J9</f>
        <v>0</v>
      </c>
      <c r="K10" s="82"/>
      <c r="N10" s="1" t="s">
        <v>47</v>
      </c>
    </row>
    <row r="11" spans="1:14" ht="12" customHeight="1">
      <c r="A11" s="81"/>
      <c r="B11" s="909" t="s">
        <v>0</v>
      </c>
      <c r="C11" s="910"/>
      <c r="D11" s="909" t="s">
        <v>1</v>
      </c>
      <c r="E11" s="914"/>
      <c r="F11" s="910"/>
      <c r="G11" s="389" t="s">
        <v>33</v>
      </c>
      <c r="H11" s="911" t="s">
        <v>16</v>
      </c>
      <c r="I11" s="912"/>
      <c r="J11" s="913"/>
      <c r="K11" s="82"/>
    </row>
    <row r="12" spans="1:14" ht="16.5" customHeight="1">
      <c r="A12" s="81"/>
      <c r="B12" s="1011" t="str">
        <f>Fotos!B11</f>
        <v>Jardim Santa Catarina</v>
      </c>
      <c r="C12" s="1013">
        <f>Fotos!C11</f>
        <v>0</v>
      </c>
      <c r="D12" s="1011" t="str">
        <f>Fotos!D11</f>
        <v>São Gonçalo</v>
      </c>
      <c r="E12" s="1012">
        <f>Fotos!E11</f>
        <v>0</v>
      </c>
      <c r="F12" s="1013">
        <f>Fotos!F11</f>
        <v>0</v>
      </c>
      <c r="G12" s="390" t="str">
        <f>Fotos!G11</f>
        <v>RJ</v>
      </c>
      <c r="H12" s="1011" t="str">
        <f>Fotos!H11</f>
        <v>24715-406</v>
      </c>
      <c r="I12" s="1012">
        <f>Fotos!I11</f>
        <v>0</v>
      </c>
      <c r="J12" s="1013">
        <f>Fotos!J11</f>
        <v>0</v>
      </c>
      <c r="K12" s="82"/>
      <c r="N12" s="1" t="s">
        <v>48</v>
      </c>
    </row>
    <row r="13" spans="1:14" ht="4.5" customHeight="1">
      <c r="A13" s="81"/>
      <c r="K13" s="82"/>
      <c r="N13" s="1" t="s">
        <v>49</v>
      </c>
    </row>
    <row r="14" spans="1:14" ht="8.25" customHeight="1">
      <c r="A14" s="81"/>
      <c r="B14" s="8"/>
      <c r="C14" s="8"/>
      <c r="D14" s="8"/>
      <c r="E14" s="8"/>
      <c r="F14" s="8"/>
      <c r="G14" s="8"/>
      <c r="H14" s="8"/>
      <c r="I14" s="8"/>
      <c r="J14" s="8"/>
      <c r="K14" s="82"/>
      <c r="N14" s="1" t="s">
        <v>51</v>
      </c>
    </row>
    <row r="15" spans="1:14" ht="16.5" customHeight="1">
      <c r="A15" s="81"/>
      <c r="B15" s="931"/>
      <c r="C15" s="932"/>
      <c r="D15" s="932"/>
      <c r="E15" s="932"/>
      <c r="F15" s="932"/>
      <c r="G15" s="932"/>
      <c r="H15" s="932"/>
      <c r="I15" s="932"/>
      <c r="J15" s="933"/>
      <c r="K15" s="82"/>
      <c r="N15" s="1" t="s">
        <v>50</v>
      </c>
    </row>
    <row r="16" spans="1:14" ht="16.5" customHeight="1">
      <c r="A16" s="81"/>
      <c r="B16" s="934"/>
      <c r="C16" s="935"/>
      <c r="D16" s="935"/>
      <c r="E16" s="935"/>
      <c r="F16" s="935"/>
      <c r="G16" s="935"/>
      <c r="H16" s="935"/>
      <c r="I16" s="935"/>
      <c r="J16" s="936"/>
      <c r="K16" s="82"/>
      <c r="N16" s="1" t="s">
        <v>52</v>
      </c>
    </row>
    <row r="17" spans="1:14" ht="16.5" customHeight="1">
      <c r="A17" s="81"/>
      <c r="B17" s="934"/>
      <c r="C17" s="935"/>
      <c r="D17" s="935"/>
      <c r="E17" s="935"/>
      <c r="F17" s="935"/>
      <c r="G17" s="935"/>
      <c r="H17" s="935"/>
      <c r="I17" s="935"/>
      <c r="J17" s="936"/>
      <c r="K17" s="82"/>
      <c r="N17" s="1" t="s">
        <v>53</v>
      </c>
    </row>
    <row r="18" spans="1:14" ht="16.5" customHeight="1">
      <c r="A18" s="81"/>
      <c r="B18" s="934"/>
      <c r="C18" s="935"/>
      <c r="D18" s="935"/>
      <c r="E18" s="935"/>
      <c r="F18" s="935"/>
      <c r="G18" s="935"/>
      <c r="H18" s="935"/>
      <c r="I18" s="935"/>
      <c r="J18" s="936"/>
      <c r="K18" s="82"/>
      <c r="N18" s="1" t="s">
        <v>62</v>
      </c>
    </row>
    <row r="19" spans="1:14" ht="16.5" customHeight="1">
      <c r="A19" s="81"/>
      <c r="B19" s="934"/>
      <c r="C19" s="935"/>
      <c r="D19" s="935"/>
      <c r="E19" s="935"/>
      <c r="F19" s="935"/>
      <c r="G19" s="935"/>
      <c r="H19" s="935"/>
      <c r="I19" s="935"/>
      <c r="J19" s="936"/>
      <c r="K19" s="82"/>
      <c r="N19" s="1" t="s">
        <v>27</v>
      </c>
    </row>
    <row r="20" spans="1:14" ht="16.5" customHeight="1">
      <c r="A20" s="81"/>
      <c r="B20" s="934"/>
      <c r="C20" s="935"/>
      <c r="D20" s="935"/>
      <c r="E20" s="935"/>
      <c r="F20" s="935"/>
      <c r="G20" s="935"/>
      <c r="H20" s="935"/>
      <c r="I20" s="935"/>
      <c r="J20" s="936"/>
      <c r="K20" s="82"/>
      <c r="N20" s="1" t="s">
        <v>63</v>
      </c>
    </row>
    <row r="21" spans="1:14" ht="16.5" customHeight="1">
      <c r="A21" s="81"/>
      <c r="B21" s="934"/>
      <c r="C21" s="935"/>
      <c r="D21" s="935"/>
      <c r="E21" s="935"/>
      <c r="F21" s="935"/>
      <c r="G21" s="935"/>
      <c r="H21" s="935"/>
      <c r="I21" s="935"/>
      <c r="J21" s="936"/>
      <c r="K21" s="82"/>
      <c r="N21" s="1" t="s">
        <v>28</v>
      </c>
    </row>
    <row r="22" spans="1:14" ht="16.5" customHeight="1">
      <c r="A22" s="81"/>
      <c r="B22" s="934"/>
      <c r="C22" s="935"/>
      <c r="D22" s="935"/>
      <c r="E22" s="935"/>
      <c r="F22" s="935"/>
      <c r="G22" s="935"/>
      <c r="H22" s="935"/>
      <c r="I22" s="935"/>
      <c r="J22" s="936"/>
      <c r="K22" s="82"/>
      <c r="N22" s="1" t="s">
        <v>30</v>
      </c>
    </row>
    <row r="23" spans="1:14" ht="16.5" customHeight="1">
      <c r="A23" s="81"/>
      <c r="B23" s="934"/>
      <c r="C23" s="935"/>
      <c r="D23" s="935"/>
      <c r="E23" s="935"/>
      <c r="F23" s="935"/>
      <c r="G23" s="935"/>
      <c r="H23" s="935"/>
      <c r="I23" s="935"/>
      <c r="J23" s="936"/>
      <c r="K23" s="82"/>
      <c r="N23" s="1" t="s">
        <v>29</v>
      </c>
    </row>
    <row r="24" spans="1:14" ht="16.5" customHeight="1">
      <c r="A24" s="81"/>
      <c r="B24" s="934"/>
      <c r="C24" s="935"/>
      <c r="D24" s="935"/>
      <c r="E24" s="935"/>
      <c r="F24" s="935"/>
      <c r="G24" s="935"/>
      <c r="H24" s="935"/>
      <c r="I24" s="935"/>
      <c r="J24" s="936"/>
      <c r="K24" s="82"/>
    </row>
    <row r="25" spans="1:14" ht="13.5" customHeight="1">
      <c r="A25" s="81"/>
      <c r="B25" s="934"/>
      <c r="C25" s="935"/>
      <c r="D25" s="935"/>
      <c r="E25" s="935"/>
      <c r="F25" s="935"/>
      <c r="G25" s="935"/>
      <c r="H25" s="935"/>
      <c r="I25" s="935"/>
      <c r="J25" s="936"/>
      <c r="K25" s="82"/>
      <c r="N25" s="1" t="s">
        <v>8</v>
      </c>
    </row>
    <row r="26" spans="1:14" ht="16.5" customHeight="1">
      <c r="A26" s="81"/>
      <c r="B26" s="934"/>
      <c r="C26" s="935"/>
      <c r="D26" s="935"/>
      <c r="E26" s="935"/>
      <c r="F26" s="935"/>
      <c r="G26" s="935"/>
      <c r="H26" s="935"/>
      <c r="I26" s="935"/>
      <c r="J26" s="936"/>
      <c r="K26" s="82"/>
      <c r="N26" s="1" t="s">
        <v>54</v>
      </c>
    </row>
    <row r="27" spans="1:14" ht="16.5" customHeight="1">
      <c r="A27" s="81"/>
      <c r="B27" s="934"/>
      <c r="C27" s="935"/>
      <c r="D27" s="935"/>
      <c r="E27" s="935"/>
      <c r="F27" s="935"/>
      <c r="G27" s="935"/>
      <c r="H27" s="935"/>
      <c r="I27" s="935"/>
      <c r="J27" s="936"/>
      <c r="K27" s="82"/>
    </row>
    <row r="28" spans="1:14" ht="16.5" customHeight="1">
      <c r="A28" s="81"/>
      <c r="B28" s="934"/>
      <c r="C28" s="935"/>
      <c r="D28" s="935"/>
      <c r="E28" s="935"/>
      <c r="F28" s="935"/>
      <c r="G28" s="935"/>
      <c r="H28" s="935"/>
      <c r="I28" s="935"/>
      <c r="J28" s="936"/>
      <c r="K28" s="82"/>
      <c r="N28" s="1" t="s">
        <v>4</v>
      </c>
    </row>
    <row r="29" spans="1:14" ht="16.5" customHeight="1">
      <c r="A29" s="81"/>
      <c r="B29" s="934"/>
      <c r="C29" s="935"/>
      <c r="D29" s="935"/>
      <c r="E29" s="935"/>
      <c r="F29" s="935"/>
      <c r="G29" s="935"/>
      <c r="H29" s="935"/>
      <c r="I29" s="935"/>
      <c r="J29" s="936"/>
      <c r="K29" s="82"/>
      <c r="N29" s="1" t="s">
        <v>55</v>
      </c>
    </row>
    <row r="30" spans="1:14" ht="16.5" customHeight="1">
      <c r="A30" s="81"/>
      <c r="B30" s="934"/>
      <c r="C30" s="935"/>
      <c r="D30" s="935"/>
      <c r="E30" s="935"/>
      <c r="F30" s="935"/>
      <c r="G30" s="935"/>
      <c r="H30" s="935"/>
      <c r="I30" s="935"/>
      <c r="J30" s="936"/>
      <c r="K30" s="82"/>
      <c r="N30" s="1" t="s">
        <v>3</v>
      </c>
    </row>
    <row r="31" spans="1:14" ht="16.5" customHeight="1">
      <c r="A31" s="81"/>
      <c r="B31" s="934"/>
      <c r="C31" s="935"/>
      <c r="D31" s="935"/>
      <c r="E31" s="935"/>
      <c r="F31" s="935"/>
      <c r="G31" s="935"/>
      <c r="H31" s="935"/>
      <c r="I31" s="935"/>
      <c r="J31" s="936"/>
      <c r="K31" s="82"/>
    </row>
    <row r="32" spans="1:14" ht="16.5" customHeight="1">
      <c r="A32" s="81"/>
      <c r="B32" s="934"/>
      <c r="C32" s="935"/>
      <c r="D32" s="935"/>
      <c r="E32" s="935"/>
      <c r="F32" s="935"/>
      <c r="G32" s="935"/>
      <c r="H32" s="935"/>
      <c r="I32" s="935"/>
      <c r="J32" s="936"/>
      <c r="K32" s="82"/>
      <c r="N32" s="1" t="s">
        <v>5</v>
      </c>
    </row>
    <row r="33" spans="1:14" ht="16.5" customHeight="1">
      <c r="A33" s="81"/>
      <c r="B33" s="934"/>
      <c r="C33" s="935"/>
      <c r="D33" s="935"/>
      <c r="E33" s="935"/>
      <c r="F33" s="935"/>
      <c r="G33" s="935"/>
      <c r="H33" s="935"/>
      <c r="I33" s="935"/>
      <c r="J33" s="936"/>
      <c r="K33" s="82"/>
      <c r="N33" s="1" t="s">
        <v>56</v>
      </c>
    </row>
    <row r="34" spans="1:14" ht="16.5" customHeight="1">
      <c r="A34" s="81"/>
      <c r="B34" s="934"/>
      <c r="C34" s="935"/>
      <c r="D34" s="935"/>
      <c r="E34" s="935"/>
      <c r="F34" s="935"/>
      <c r="G34" s="935"/>
      <c r="H34" s="935"/>
      <c r="I34" s="935"/>
      <c r="J34" s="936"/>
      <c r="K34" s="82"/>
      <c r="N34" s="1" t="s">
        <v>6</v>
      </c>
    </row>
    <row r="35" spans="1:14" ht="16.5" customHeight="1">
      <c r="A35" s="81"/>
      <c r="B35" s="934"/>
      <c r="C35" s="935"/>
      <c r="D35" s="935"/>
      <c r="E35" s="935"/>
      <c r="F35" s="935"/>
      <c r="G35" s="935"/>
      <c r="H35" s="935"/>
      <c r="I35" s="935"/>
      <c r="J35" s="936"/>
      <c r="K35" s="82"/>
      <c r="N35" s="1" t="s">
        <v>57</v>
      </c>
    </row>
    <row r="36" spans="1:14" ht="16.5" customHeight="1">
      <c r="A36" s="81"/>
      <c r="B36" s="934"/>
      <c r="C36" s="935"/>
      <c r="D36" s="935"/>
      <c r="E36" s="935"/>
      <c r="F36" s="935"/>
      <c r="G36" s="935"/>
      <c r="H36" s="935"/>
      <c r="I36" s="935"/>
      <c r="J36" s="936"/>
      <c r="K36" s="82"/>
      <c r="N36" s="1" t="s">
        <v>7</v>
      </c>
    </row>
    <row r="37" spans="1:14" ht="16.5" customHeight="1">
      <c r="A37" s="81"/>
      <c r="B37" s="934"/>
      <c r="C37" s="935"/>
      <c r="D37" s="935"/>
      <c r="E37" s="935"/>
      <c r="F37" s="935"/>
      <c r="G37" s="935"/>
      <c r="H37" s="935"/>
      <c r="I37" s="935"/>
      <c r="J37" s="936"/>
      <c r="K37" s="82"/>
    </row>
    <row r="38" spans="1:14" ht="16.5" customHeight="1">
      <c r="A38" s="81"/>
      <c r="B38" s="934"/>
      <c r="C38" s="935"/>
      <c r="D38" s="935"/>
      <c r="E38" s="935"/>
      <c r="F38" s="935"/>
      <c r="G38" s="935"/>
      <c r="H38" s="935"/>
      <c r="I38" s="935"/>
      <c r="J38" s="936"/>
      <c r="K38" s="82"/>
    </row>
    <row r="39" spans="1:14" ht="13.5" customHeight="1">
      <c r="A39" s="81"/>
      <c r="B39" s="934"/>
      <c r="C39" s="935"/>
      <c r="D39" s="935"/>
      <c r="E39" s="935"/>
      <c r="F39" s="935"/>
      <c r="G39" s="935"/>
      <c r="H39" s="935"/>
      <c r="I39" s="935"/>
      <c r="J39" s="936"/>
      <c r="K39" s="82"/>
    </row>
    <row r="40" spans="1:14" ht="16.5" customHeight="1">
      <c r="A40" s="81"/>
      <c r="B40" s="934"/>
      <c r="C40" s="935"/>
      <c r="D40" s="935"/>
      <c r="E40" s="935"/>
      <c r="F40" s="935"/>
      <c r="G40" s="935"/>
      <c r="H40" s="935"/>
      <c r="I40" s="935"/>
      <c r="J40" s="936"/>
      <c r="K40" s="82"/>
      <c r="N40" s="1" t="s">
        <v>58</v>
      </c>
    </row>
    <row r="41" spans="1:14" ht="16.5" customHeight="1">
      <c r="A41" s="81"/>
      <c r="B41" s="934"/>
      <c r="C41" s="935"/>
      <c r="D41" s="935"/>
      <c r="E41" s="935"/>
      <c r="F41" s="935"/>
      <c r="G41" s="935"/>
      <c r="H41" s="935"/>
      <c r="I41" s="935"/>
      <c r="J41" s="936"/>
      <c r="K41" s="82"/>
    </row>
    <row r="42" spans="1:14" ht="16.5" customHeight="1">
      <c r="A42" s="81"/>
      <c r="B42" s="934"/>
      <c r="C42" s="935"/>
      <c r="D42" s="935"/>
      <c r="E42" s="935"/>
      <c r="F42" s="935"/>
      <c r="G42" s="935"/>
      <c r="H42" s="935"/>
      <c r="I42" s="935"/>
      <c r="J42" s="936"/>
      <c r="K42" s="82"/>
      <c r="N42" s="1" t="s">
        <v>59</v>
      </c>
    </row>
    <row r="43" spans="1:14" ht="16.5" customHeight="1">
      <c r="A43" s="81"/>
      <c r="B43" s="934"/>
      <c r="C43" s="935"/>
      <c r="D43" s="935"/>
      <c r="E43" s="935"/>
      <c r="F43" s="935"/>
      <c r="G43" s="935"/>
      <c r="H43" s="935"/>
      <c r="I43" s="935"/>
      <c r="J43" s="936"/>
      <c r="K43" s="82"/>
    </row>
    <row r="44" spans="1:14" ht="16.5" customHeight="1">
      <c r="A44" s="81"/>
      <c r="B44" s="934"/>
      <c r="C44" s="935"/>
      <c r="D44" s="935"/>
      <c r="E44" s="935"/>
      <c r="F44" s="935"/>
      <c r="G44" s="935"/>
      <c r="H44" s="935"/>
      <c r="I44" s="935"/>
      <c r="J44" s="936"/>
      <c r="K44" s="82"/>
      <c r="N44" s="1" t="s">
        <v>60</v>
      </c>
    </row>
    <row r="45" spans="1:14" ht="16.5" customHeight="1">
      <c r="A45" s="81"/>
      <c r="B45" s="934"/>
      <c r="C45" s="935"/>
      <c r="D45" s="935"/>
      <c r="E45" s="935"/>
      <c r="F45" s="935"/>
      <c r="G45" s="935"/>
      <c r="H45" s="935"/>
      <c r="I45" s="935"/>
      <c r="J45" s="936"/>
      <c r="K45" s="82"/>
      <c r="N45" s="1" t="s">
        <v>61</v>
      </c>
    </row>
    <row r="46" spans="1:14" ht="16.5" customHeight="1">
      <c r="A46" s="81"/>
      <c r="B46" s="934"/>
      <c r="C46" s="935"/>
      <c r="D46" s="935"/>
      <c r="E46" s="935"/>
      <c r="F46" s="935"/>
      <c r="G46" s="935"/>
      <c r="H46" s="935"/>
      <c r="I46" s="935"/>
      <c r="J46" s="936"/>
      <c r="K46" s="82"/>
    </row>
    <row r="47" spans="1:14" ht="16.5" customHeight="1">
      <c r="A47" s="81"/>
      <c r="B47" s="934"/>
      <c r="C47" s="935"/>
      <c r="D47" s="935"/>
      <c r="E47" s="935"/>
      <c r="F47" s="935"/>
      <c r="G47" s="935"/>
      <c r="H47" s="935"/>
      <c r="I47" s="935"/>
      <c r="J47" s="936"/>
      <c r="K47" s="82"/>
    </row>
    <row r="48" spans="1:14" ht="16.5" customHeight="1">
      <c r="A48" s="81"/>
      <c r="B48" s="934"/>
      <c r="C48" s="935"/>
      <c r="D48" s="935"/>
      <c r="E48" s="935"/>
      <c r="F48" s="935"/>
      <c r="G48" s="935"/>
      <c r="H48" s="935"/>
      <c r="I48" s="935"/>
      <c r="J48" s="936"/>
      <c r="K48" s="82"/>
    </row>
    <row r="49" spans="1:11" ht="16.5" customHeight="1">
      <c r="A49" s="81"/>
      <c r="B49" s="937"/>
      <c r="C49" s="938"/>
      <c r="D49" s="938"/>
      <c r="E49" s="938"/>
      <c r="F49" s="938"/>
      <c r="G49" s="938"/>
      <c r="H49" s="938"/>
      <c r="I49" s="938"/>
      <c r="J49" s="939"/>
      <c r="K49" s="82"/>
    </row>
    <row r="50" spans="1:11" ht="4.5" customHeight="1">
      <c r="A50" s="83"/>
      <c r="B50" s="140"/>
      <c r="C50" s="140"/>
      <c r="D50" s="140"/>
      <c r="E50" s="140"/>
      <c r="F50" s="140"/>
      <c r="G50" s="140"/>
      <c r="H50" s="140"/>
      <c r="I50" s="140"/>
      <c r="J50" s="140"/>
      <c r="K50" s="85"/>
    </row>
    <row r="51" spans="1:11" ht="16.5" customHeight="1">
      <c r="B51" s="8"/>
      <c r="C51" s="8"/>
      <c r="D51" s="8"/>
      <c r="E51" s="8"/>
      <c r="F51" s="8"/>
      <c r="G51" s="8"/>
      <c r="H51" s="8"/>
      <c r="I51" s="8"/>
      <c r="J51" s="8"/>
    </row>
    <row r="52" spans="1:11" ht="16.5" customHeight="1">
      <c r="B52" s="8"/>
      <c r="C52" s="8"/>
      <c r="D52" s="8"/>
      <c r="E52" s="8"/>
      <c r="F52" s="8"/>
      <c r="G52" s="8"/>
      <c r="H52" s="8"/>
      <c r="I52" s="8"/>
      <c r="J52" s="8"/>
    </row>
    <row r="53" spans="1:11" ht="13.5" customHeight="1">
      <c r="B53" s="8"/>
      <c r="C53" s="8"/>
      <c r="D53" s="8"/>
      <c r="E53" s="8"/>
      <c r="F53" s="8"/>
      <c r="G53" s="8"/>
      <c r="H53" s="8"/>
      <c r="I53" s="8"/>
      <c r="J53" s="8"/>
    </row>
    <row r="54" spans="1:11" ht="16.5" customHeight="1">
      <c r="B54" s="8"/>
      <c r="C54" s="8"/>
      <c r="D54" s="8"/>
      <c r="E54" s="8"/>
      <c r="F54" s="8"/>
      <c r="G54" s="8"/>
      <c r="H54" s="8"/>
      <c r="I54" s="8"/>
      <c r="J54" s="8"/>
    </row>
    <row r="55" spans="1:11" ht="16.5" customHeight="1"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16.5" customHeight="1">
      <c r="B56" s="12"/>
      <c r="C56" s="12"/>
      <c r="D56" s="12"/>
      <c r="E56" s="12"/>
      <c r="F56" s="12"/>
      <c r="G56" s="12"/>
      <c r="H56" s="12"/>
      <c r="I56" s="12"/>
      <c r="J56" s="12"/>
    </row>
    <row r="57" spans="1:11" ht="16.5" customHeight="1">
      <c r="B57" s="11"/>
      <c r="C57" s="11"/>
      <c r="D57" s="11"/>
      <c r="E57" s="11"/>
      <c r="F57" s="11"/>
      <c r="G57" s="11"/>
      <c r="H57" s="11"/>
      <c r="I57" s="11"/>
      <c r="J57" s="13"/>
    </row>
    <row r="58" spans="1:11" ht="16.5" customHeight="1"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16.5" customHeight="1"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16.5" customHeight="1">
      <c r="B60" s="13"/>
      <c r="C60" s="13"/>
      <c r="D60" s="13"/>
      <c r="E60" s="13"/>
      <c r="F60" s="13"/>
      <c r="G60" s="13"/>
      <c r="H60" s="13"/>
      <c r="I60" s="13"/>
      <c r="J60" s="13"/>
    </row>
    <row r="61" spans="1:11" ht="16.5" customHeight="1">
      <c r="B61" s="13"/>
      <c r="C61" s="13"/>
      <c r="D61" s="13"/>
      <c r="E61" s="13"/>
      <c r="F61" s="13"/>
      <c r="G61" s="13"/>
      <c r="H61" s="13"/>
      <c r="I61" s="13"/>
      <c r="J61" s="13"/>
    </row>
  </sheetData>
  <mergeCells count="19">
    <mergeCell ref="B15:J49"/>
    <mergeCell ref="B11:C11"/>
    <mergeCell ref="D11:F11"/>
    <mergeCell ref="H11:J11"/>
    <mergeCell ref="B12:C12"/>
    <mergeCell ref="D12:F12"/>
    <mergeCell ref="H12:J12"/>
    <mergeCell ref="B7:G7"/>
    <mergeCell ref="H7:J7"/>
    <mergeCell ref="B9:F9"/>
    <mergeCell ref="H9:J9"/>
    <mergeCell ref="B10:F10"/>
    <mergeCell ref="H10:J10"/>
    <mergeCell ref="D2:G2"/>
    <mergeCell ref="H2:I2"/>
    <mergeCell ref="H3:I3"/>
    <mergeCell ref="E4:J4"/>
    <mergeCell ref="B6:G6"/>
    <mergeCell ref="H6:J6"/>
  </mergeCells>
  <printOptions horizontalCentered="1" verticalCentered="1"/>
  <pageMargins left="0.31496062992125984" right="0.23622047244094491" top="0.39370078740157483" bottom="0.39370078740157483" header="0" footer="0"/>
  <pageSetup paperSize="9" scale="108" orientation="portrait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53"/>
  <sheetViews>
    <sheetView showGridLines="0" view="pageBreakPreview" topLeftCell="A10" zoomScale="75" zoomScaleNormal="75" zoomScaleSheetLayoutView="75" workbookViewId="0">
      <selection activeCell="I26" sqref="I26:I27"/>
    </sheetView>
  </sheetViews>
  <sheetFormatPr defaultRowHeight="12.75"/>
  <cols>
    <col min="1" max="1" width="12.28515625" style="399" customWidth="1"/>
    <col min="2" max="2" width="52.140625" style="399" customWidth="1"/>
    <col min="3" max="3" width="17" style="399" customWidth="1"/>
    <col min="4" max="4" width="13.5703125" style="399" customWidth="1"/>
    <col min="5" max="5" width="13.7109375" style="399" customWidth="1"/>
    <col min="6" max="6" width="12.42578125" style="399" customWidth="1"/>
    <col min="7" max="7" width="8.28515625" style="399" customWidth="1"/>
    <col min="8" max="8" width="8" style="399" customWidth="1"/>
    <col min="9" max="9" width="5.5703125" style="399" customWidth="1"/>
    <col min="10" max="10" width="12.7109375" style="399" customWidth="1"/>
    <col min="11" max="12" width="15.85546875" style="399" hidden="1" customWidth="1"/>
    <col min="13" max="13" width="9.42578125" style="399" customWidth="1"/>
    <col min="14" max="14" width="8.28515625" style="399" customWidth="1"/>
    <col min="15" max="15" width="18" style="399" customWidth="1"/>
    <col min="16" max="16" width="8" style="399" customWidth="1"/>
    <col min="17" max="18" width="14.85546875" style="400" customWidth="1"/>
    <col min="19" max="19" width="8" style="400" customWidth="1"/>
    <col min="20" max="20" width="21.28515625" style="399" customWidth="1"/>
    <col min="21" max="21" width="9.140625" style="399"/>
    <col min="22" max="22" width="13.7109375" style="399" customWidth="1"/>
    <col min="23" max="23" width="1.5703125" style="399" customWidth="1"/>
    <col min="24" max="256" width="9.140625" style="399"/>
    <col min="257" max="257" width="12.28515625" style="399" customWidth="1"/>
    <col min="258" max="258" width="52.140625" style="399" customWidth="1"/>
    <col min="259" max="259" width="17" style="399" customWidth="1"/>
    <col min="260" max="260" width="13.5703125" style="399" customWidth="1"/>
    <col min="261" max="261" width="13.7109375" style="399" customWidth="1"/>
    <col min="262" max="262" width="12.42578125" style="399" customWidth="1"/>
    <col min="263" max="263" width="8.28515625" style="399" customWidth="1"/>
    <col min="264" max="264" width="8" style="399" customWidth="1"/>
    <col min="265" max="265" width="5.5703125" style="399" customWidth="1"/>
    <col min="266" max="266" width="12.7109375" style="399" customWidth="1"/>
    <col min="267" max="268" width="0" style="399" hidden="1" customWidth="1"/>
    <col min="269" max="269" width="9.42578125" style="399" customWidth="1"/>
    <col min="270" max="270" width="8.28515625" style="399" customWidth="1"/>
    <col min="271" max="271" width="18" style="399" customWidth="1"/>
    <col min="272" max="272" width="8" style="399" customWidth="1"/>
    <col min="273" max="274" width="14.85546875" style="399" customWidth="1"/>
    <col min="275" max="275" width="8" style="399" customWidth="1"/>
    <col min="276" max="276" width="21.28515625" style="399" customWidth="1"/>
    <col min="277" max="277" width="9.140625" style="399"/>
    <col min="278" max="278" width="13.7109375" style="399" customWidth="1"/>
    <col min="279" max="279" width="1.5703125" style="399" customWidth="1"/>
    <col min="280" max="512" width="9.140625" style="399"/>
    <col min="513" max="513" width="12.28515625" style="399" customWidth="1"/>
    <col min="514" max="514" width="52.140625" style="399" customWidth="1"/>
    <col min="515" max="515" width="17" style="399" customWidth="1"/>
    <col min="516" max="516" width="13.5703125" style="399" customWidth="1"/>
    <col min="517" max="517" width="13.7109375" style="399" customWidth="1"/>
    <col min="518" max="518" width="12.42578125" style="399" customWidth="1"/>
    <col min="519" max="519" width="8.28515625" style="399" customWidth="1"/>
    <col min="520" max="520" width="8" style="399" customWidth="1"/>
    <col min="521" max="521" width="5.5703125" style="399" customWidth="1"/>
    <col min="522" max="522" width="12.7109375" style="399" customWidth="1"/>
    <col min="523" max="524" width="0" style="399" hidden="1" customWidth="1"/>
    <col min="525" max="525" width="9.42578125" style="399" customWidth="1"/>
    <col min="526" max="526" width="8.28515625" style="399" customWidth="1"/>
    <col min="527" max="527" width="18" style="399" customWidth="1"/>
    <col min="528" max="528" width="8" style="399" customWidth="1"/>
    <col min="529" max="530" width="14.85546875" style="399" customWidth="1"/>
    <col min="531" max="531" width="8" style="399" customWidth="1"/>
    <col min="532" max="532" width="21.28515625" style="399" customWidth="1"/>
    <col min="533" max="533" width="9.140625" style="399"/>
    <col min="534" max="534" width="13.7109375" style="399" customWidth="1"/>
    <col min="535" max="535" width="1.5703125" style="399" customWidth="1"/>
    <col min="536" max="768" width="9.140625" style="399"/>
    <col min="769" max="769" width="12.28515625" style="399" customWidth="1"/>
    <col min="770" max="770" width="52.140625" style="399" customWidth="1"/>
    <col min="771" max="771" width="17" style="399" customWidth="1"/>
    <col min="772" max="772" width="13.5703125" style="399" customWidth="1"/>
    <col min="773" max="773" width="13.7109375" style="399" customWidth="1"/>
    <col min="774" max="774" width="12.42578125" style="399" customWidth="1"/>
    <col min="775" max="775" width="8.28515625" style="399" customWidth="1"/>
    <col min="776" max="776" width="8" style="399" customWidth="1"/>
    <col min="777" max="777" width="5.5703125" style="399" customWidth="1"/>
    <col min="778" max="778" width="12.7109375" style="399" customWidth="1"/>
    <col min="779" max="780" width="0" style="399" hidden="1" customWidth="1"/>
    <col min="781" max="781" width="9.42578125" style="399" customWidth="1"/>
    <col min="782" max="782" width="8.28515625" style="399" customWidth="1"/>
    <col min="783" max="783" width="18" style="399" customWidth="1"/>
    <col min="784" max="784" width="8" style="399" customWidth="1"/>
    <col min="785" max="786" width="14.85546875" style="399" customWidth="1"/>
    <col min="787" max="787" width="8" style="399" customWidth="1"/>
    <col min="788" max="788" width="21.28515625" style="399" customWidth="1"/>
    <col min="789" max="789" width="9.140625" style="399"/>
    <col min="790" max="790" width="13.7109375" style="399" customWidth="1"/>
    <col min="791" max="791" width="1.5703125" style="399" customWidth="1"/>
    <col min="792" max="1024" width="9.140625" style="399"/>
    <col min="1025" max="1025" width="12.28515625" style="399" customWidth="1"/>
    <col min="1026" max="1026" width="52.140625" style="399" customWidth="1"/>
    <col min="1027" max="1027" width="17" style="399" customWidth="1"/>
    <col min="1028" max="1028" width="13.5703125" style="399" customWidth="1"/>
    <col min="1029" max="1029" width="13.7109375" style="399" customWidth="1"/>
    <col min="1030" max="1030" width="12.42578125" style="399" customWidth="1"/>
    <col min="1031" max="1031" width="8.28515625" style="399" customWidth="1"/>
    <col min="1032" max="1032" width="8" style="399" customWidth="1"/>
    <col min="1033" max="1033" width="5.5703125" style="399" customWidth="1"/>
    <col min="1034" max="1034" width="12.7109375" style="399" customWidth="1"/>
    <col min="1035" max="1036" width="0" style="399" hidden="1" customWidth="1"/>
    <col min="1037" max="1037" width="9.42578125" style="399" customWidth="1"/>
    <col min="1038" max="1038" width="8.28515625" style="399" customWidth="1"/>
    <col min="1039" max="1039" width="18" style="399" customWidth="1"/>
    <col min="1040" max="1040" width="8" style="399" customWidth="1"/>
    <col min="1041" max="1042" width="14.85546875" style="399" customWidth="1"/>
    <col min="1043" max="1043" width="8" style="399" customWidth="1"/>
    <col min="1044" max="1044" width="21.28515625" style="399" customWidth="1"/>
    <col min="1045" max="1045" width="9.140625" style="399"/>
    <col min="1046" max="1046" width="13.7109375" style="399" customWidth="1"/>
    <col min="1047" max="1047" width="1.5703125" style="399" customWidth="1"/>
    <col min="1048" max="1280" width="9.140625" style="399"/>
    <col min="1281" max="1281" width="12.28515625" style="399" customWidth="1"/>
    <col min="1282" max="1282" width="52.140625" style="399" customWidth="1"/>
    <col min="1283" max="1283" width="17" style="399" customWidth="1"/>
    <col min="1284" max="1284" width="13.5703125" style="399" customWidth="1"/>
    <col min="1285" max="1285" width="13.7109375" style="399" customWidth="1"/>
    <col min="1286" max="1286" width="12.42578125" style="399" customWidth="1"/>
    <col min="1287" max="1287" width="8.28515625" style="399" customWidth="1"/>
    <col min="1288" max="1288" width="8" style="399" customWidth="1"/>
    <col min="1289" max="1289" width="5.5703125" style="399" customWidth="1"/>
    <col min="1290" max="1290" width="12.7109375" style="399" customWidth="1"/>
    <col min="1291" max="1292" width="0" style="399" hidden="1" customWidth="1"/>
    <col min="1293" max="1293" width="9.42578125" style="399" customWidth="1"/>
    <col min="1294" max="1294" width="8.28515625" style="399" customWidth="1"/>
    <col min="1295" max="1295" width="18" style="399" customWidth="1"/>
    <col min="1296" max="1296" width="8" style="399" customWidth="1"/>
    <col min="1297" max="1298" width="14.85546875" style="399" customWidth="1"/>
    <col min="1299" max="1299" width="8" style="399" customWidth="1"/>
    <col min="1300" max="1300" width="21.28515625" style="399" customWidth="1"/>
    <col min="1301" max="1301" width="9.140625" style="399"/>
    <col min="1302" max="1302" width="13.7109375" style="399" customWidth="1"/>
    <col min="1303" max="1303" width="1.5703125" style="399" customWidth="1"/>
    <col min="1304" max="1536" width="9.140625" style="399"/>
    <col min="1537" max="1537" width="12.28515625" style="399" customWidth="1"/>
    <col min="1538" max="1538" width="52.140625" style="399" customWidth="1"/>
    <col min="1539" max="1539" width="17" style="399" customWidth="1"/>
    <col min="1540" max="1540" width="13.5703125" style="399" customWidth="1"/>
    <col min="1541" max="1541" width="13.7109375" style="399" customWidth="1"/>
    <col min="1542" max="1542" width="12.42578125" style="399" customWidth="1"/>
    <col min="1543" max="1543" width="8.28515625" style="399" customWidth="1"/>
    <col min="1544" max="1544" width="8" style="399" customWidth="1"/>
    <col min="1545" max="1545" width="5.5703125" style="399" customWidth="1"/>
    <col min="1546" max="1546" width="12.7109375" style="399" customWidth="1"/>
    <col min="1547" max="1548" width="0" style="399" hidden="1" customWidth="1"/>
    <col min="1549" max="1549" width="9.42578125" style="399" customWidth="1"/>
    <col min="1550" max="1550" width="8.28515625" style="399" customWidth="1"/>
    <col min="1551" max="1551" width="18" style="399" customWidth="1"/>
    <col min="1552" max="1552" width="8" style="399" customWidth="1"/>
    <col min="1553" max="1554" width="14.85546875" style="399" customWidth="1"/>
    <col min="1555" max="1555" width="8" style="399" customWidth="1"/>
    <col min="1556" max="1556" width="21.28515625" style="399" customWidth="1"/>
    <col min="1557" max="1557" width="9.140625" style="399"/>
    <col min="1558" max="1558" width="13.7109375" style="399" customWidth="1"/>
    <col min="1559" max="1559" width="1.5703125" style="399" customWidth="1"/>
    <col min="1560" max="1792" width="9.140625" style="399"/>
    <col min="1793" max="1793" width="12.28515625" style="399" customWidth="1"/>
    <col min="1794" max="1794" width="52.140625" style="399" customWidth="1"/>
    <col min="1795" max="1795" width="17" style="399" customWidth="1"/>
    <col min="1796" max="1796" width="13.5703125" style="399" customWidth="1"/>
    <col min="1797" max="1797" width="13.7109375" style="399" customWidth="1"/>
    <col min="1798" max="1798" width="12.42578125" style="399" customWidth="1"/>
    <col min="1799" max="1799" width="8.28515625" style="399" customWidth="1"/>
    <col min="1800" max="1800" width="8" style="399" customWidth="1"/>
    <col min="1801" max="1801" width="5.5703125" style="399" customWidth="1"/>
    <col min="1802" max="1802" width="12.7109375" style="399" customWidth="1"/>
    <col min="1803" max="1804" width="0" style="399" hidden="1" customWidth="1"/>
    <col min="1805" max="1805" width="9.42578125" style="399" customWidth="1"/>
    <col min="1806" max="1806" width="8.28515625" style="399" customWidth="1"/>
    <col min="1807" max="1807" width="18" style="399" customWidth="1"/>
    <col min="1808" max="1808" width="8" style="399" customWidth="1"/>
    <col min="1809" max="1810" width="14.85546875" style="399" customWidth="1"/>
    <col min="1811" max="1811" width="8" style="399" customWidth="1"/>
    <col min="1812" max="1812" width="21.28515625" style="399" customWidth="1"/>
    <col min="1813" max="1813" width="9.140625" style="399"/>
    <col min="1814" max="1814" width="13.7109375" style="399" customWidth="1"/>
    <col min="1815" max="1815" width="1.5703125" style="399" customWidth="1"/>
    <col min="1816" max="2048" width="9.140625" style="399"/>
    <col min="2049" max="2049" width="12.28515625" style="399" customWidth="1"/>
    <col min="2050" max="2050" width="52.140625" style="399" customWidth="1"/>
    <col min="2051" max="2051" width="17" style="399" customWidth="1"/>
    <col min="2052" max="2052" width="13.5703125" style="399" customWidth="1"/>
    <col min="2053" max="2053" width="13.7109375" style="399" customWidth="1"/>
    <col min="2054" max="2054" width="12.42578125" style="399" customWidth="1"/>
    <col min="2055" max="2055" width="8.28515625" style="399" customWidth="1"/>
    <col min="2056" max="2056" width="8" style="399" customWidth="1"/>
    <col min="2057" max="2057" width="5.5703125" style="399" customWidth="1"/>
    <col min="2058" max="2058" width="12.7109375" style="399" customWidth="1"/>
    <col min="2059" max="2060" width="0" style="399" hidden="1" customWidth="1"/>
    <col min="2061" max="2061" width="9.42578125" style="399" customWidth="1"/>
    <col min="2062" max="2062" width="8.28515625" style="399" customWidth="1"/>
    <col min="2063" max="2063" width="18" style="399" customWidth="1"/>
    <col min="2064" max="2064" width="8" style="399" customWidth="1"/>
    <col min="2065" max="2066" width="14.85546875" style="399" customWidth="1"/>
    <col min="2067" max="2067" width="8" style="399" customWidth="1"/>
    <col min="2068" max="2068" width="21.28515625" style="399" customWidth="1"/>
    <col min="2069" max="2069" width="9.140625" style="399"/>
    <col min="2070" max="2070" width="13.7109375" style="399" customWidth="1"/>
    <col min="2071" max="2071" width="1.5703125" style="399" customWidth="1"/>
    <col min="2072" max="2304" width="9.140625" style="399"/>
    <col min="2305" max="2305" width="12.28515625" style="399" customWidth="1"/>
    <col min="2306" max="2306" width="52.140625" style="399" customWidth="1"/>
    <col min="2307" max="2307" width="17" style="399" customWidth="1"/>
    <col min="2308" max="2308" width="13.5703125" style="399" customWidth="1"/>
    <col min="2309" max="2309" width="13.7109375" style="399" customWidth="1"/>
    <col min="2310" max="2310" width="12.42578125" style="399" customWidth="1"/>
    <col min="2311" max="2311" width="8.28515625" style="399" customWidth="1"/>
    <col min="2312" max="2312" width="8" style="399" customWidth="1"/>
    <col min="2313" max="2313" width="5.5703125" style="399" customWidth="1"/>
    <col min="2314" max="2314" width="12.7109375" style="399" customWidth="1"/>
    <col min="2315" max="2316" width="0" style="399" hidden="1" customWidth="1"/>
    <col min="2317" max="2317" width="9.42578125" style="399" customWidth="1"/>
    <col min="2318" max="2318" width="8.28515625" style="399" customWidth="1"/>
    <col min="2319" max="2319" width="18" style="399" customWidth="1"/>
    <col min="2320" max="2320" width="8" style="399" customWidth="1"/>
    <col min="2321" max="2322" width="14.85546875" style="399" customWidth="1"/>
    <col min="2323" max="2323" width="8" style="399" customWidth="1"/>
    <col min="2324" max="2324" width="21.28515625" style="399" customWidth="1"/>
    <col min="2325" max="2325" width="9.140625" style="399"/>
    <col min="2326" max="2326" width="13.7109375" style="399" customWidth="1"/>
    <col min="2327" max="2327" width="1.5703125" style="399" customWidth="1"/>
    <col min="2328" max="2560" width="9.140625" style="399"/>
    <col min="2561" max="2561" width="12.28515625" style="399" customWidth="1"/>
    <col min="2562" max="2562" width="52.140625" style="399" customWidth="1"/>
    <col min="2563" max="2563" width="17" style="399" customWidth="1"/>
    <col min="2564" max="2564" width="13.5703125" style="399" customWidth="1"/>
    <col min="2565" max="2565" width="13.7109375" style="399" customWidth="1"/>
    <col min="2566" max="2566" width="12.42578125" style="399" customWidth="1"/>
    <col min="2567" max="2567" width="8.28515625" style="399" customWidth="1"/>
    <col min="2568" max="2568" width="8" style="399" customWidth="1"/>
    <col min="2569" max="2569" width="5.5703125" style="399" customWidth="1"/>
    <col min="2570" max="2570" width="12.7109375" style="399" customWidth="1"/>
    <col min="2571" max="2572" width="0" style="399" hidden="1" customWidth="1"/>
    <col min="2573" max="2573" width="9.42578125" style="399" customWidth="1"/>
    <col min="2574" max="2574" width="8.28515625" style="399" customWidth="1"/>
    <col min="2575" max="2575" width="18" style="399" customWidth="1"/>
    <col min="2576" max="2576" width="8" style="399" customWidth="1"/>
    <col min="2577" max="2578" width="14.85546875" style="399" customWidth="1"/>
    <col min="2579" max="2579" width="8" style="399" customWidth="1"/>
    <col min="2580" max="2580" width="21.28515625" style="399" customWidth="1"/>
    <col min="2581" max="2581" width="9.140625" style="399"/>
    <col min="2582" max="2582" width="13.7109375" style="399" customWidth="1"/>
    <col min="2583" max="2583" width="1.5703125" style="399" customWidth="1"/>
    <col min="2584" max="2816" width="9.140625" style="399"/>
    <col min="2817" max="2817" width="12.28515625" style="399" customWidth="1"/>
    <col min="2818" max="2818" width="52.140625" style="399" customWidth="1"/>
    <col min="2819" max="2819" width="17" style="399" customWidth="1"/>
    <col min="2820" max="2820" width="13.5703125" style="399" customWidth="1"/>
    <col min="2821" max="2821" width="13.7109375" style="399" customWidth="1"/>
    <col min="2822" max="2822" width="12.42578125" style="399" customWidth="1"/>
    <col min="2823" max="2823" width="8.28515625" style="399" customWidth="1"/>
    <col min="2824" max="2824" width="8" style="399" customWidth="1"/>
    <col min="2825" max="2825" width="5.5703125" style="399" customWidth="1"/>
    <col min="2826" max="2826" width="12.7109375" style="399" customWidth="1"/>
    <col min="2827" max="2828" width="0" style="399" hidden="1" customWidth="1"/>
    <col min="2829" max="2829" width="9.42578125" style="399" customWidth="1"/>
    <col min="2830" max="2830" width="8.28515625" style="399" customWidth="1"/>
    <col min="2831" max="2831" width="18" style="399" customWidth="1"/>
    <col min="2832" max="2832" width="8" style="399" customWidth="1"/>
    <col min="2833" max="2834" width="14.85546875" style="399" customWidth="1"/>
    <col min="2835" max="2835" width="8" style="399" customWidth="1"/>
    <col min="2836" max="2836" width="21.28515625" style="399" customWidth="1"/>
    <col min="2837" max="2837" width="9.140625" style="399"/>
    <col min="2838" max="2838" width="13.7109375" style="399" customWidth="1"/>
    <col min="2839" max="2839" width="1.5703125" style="399" customWidth="1"/>
    <col min="2840" max="3072" width="9.140625" style="399"/>
    <col min="3073" max="3073" width="12.28515625" style="399" customWidth="1"/>
    <col min="3074" max="3074" width="52.140625" style="399" customWidth="1"/>
    <col min="3075" max="3075" width="17" style="399" customWidth="1"/>
    <col min="3076" max="3076" width="13.5703125" style="399" customWidth="1"/>
    <col min="3077" max="3077" width="13.7109375" style="399" customWidth="1"/>
    <col min="3078" max="3078" width="12.42578125" style="399" customWidth="1"/>
    <col min="3079" max="3079" width="8.28515625" style="399" customWidth="1"/>
    <col min="3080" max="3080" width="8" style="399" customWidth="1"/>
    <col min="3081" max="3081" width="5.5703125" style="399" customWidth="1"/>
    <col min="3082" max="3082" width="12.7109375" style="399" customWidth="1"/>
    <col min="3083" max="3084" width="0" style="399" hidden="1" customWidth="1"/>
    <col min="3085" max="3085" width="9.42578125" style="399" customWidth="1"/>
    <col min="3086" max="3086" width="8.28515625" style="399" customWidth="1"/>
    <col min="3087" max="3087" width="18" style="399" customWidth="1"/>
    <col min="3088" max="3088" width="8" style="399" customWidth="1"/>
    <col min="3089" max="3090" width="14.85546875" style="399" customWidth="1"/>
    <col min="3091" max="3091" width="8" style="399" customWidth="1"/>
    <col min="3092" max="3092" width="21.28515625" style="399" customWidth="1"/>
    <col min="3093" max="3093" width="9.140625" style="399"/>
    <col min="3094" max="3094" width="13.7109375" style="399" customWidth="1"/>
    <col min="3095" max="3095" width="1.5703125" style="399" customWidth="1"/>
    <col min="3096" max="3328" width="9.140625" style="399"/>
    <col min="3329" max="3329" width="12.28515625" style="399" customWidth="1"/>
    <col min="3330" max="3330" width="52.140625" style="399" customWidth="1"/>
    <col min="3331" max="3331" width="17" style="399" customWidth="1"/>
    <col min="3332" max="3332" width="13.5703125" style="399" customWidth="1"/>
    <col min="3333" max="3333" width="13.7109375" style="399" customWidth="1"/>
    <col min="3334" max="3334" width="12.42578125" style="399" customWidth="1"/>
    <col min="3335" max="3335" width="8.28515625" style="399" customWidth="1"/>
    <col min="3336" max="3336" width="8" style="399" customWidth="1"/>
    <col min="3337" max="3337" width="5.5703125" style="399" customWidth="1"/>
    <col min="3338" max="3338" width="12.7109375" style="399" customWidth="1"/>
    <col min="3339" max="3340" width="0" style="399" hidden="1" customWidth="1"/>
    <col min="3341" max="3341" width="9.42578125" style="399" customWidth="1"/>
    <col min="3342" max="3342" width="8.28515625" style="399" customWidth="1"/>
    <col min="3343" max="3343" width="18" style="399" customWidth="1"/>
    <col min="3344" max="3344" width="8" style="399" customWidth="1"/>
    <col min="3345" max="3346" width="14.85546875" style="399" customWidth="1"/>
    <col min="3347" max="3347" width="8" style="399" customWidth="1"/>
    <col min="3348" max="3348" width="21.28515625" style="399" customWidth="1"/>
    <col min="3349" max="3349" width="9.140625" style="399"/>
    <col min="3350" max="3350" width="13.7109375" style="399" customWidth="1"/>
    <col min="3351" max="3351" width="1.5703125" style="399" customWidth="1"/>
    <col min="3352" max="3584" width="9.140625" style="399"/>
    <col min="3585" max="3585" width="12.28515625" style="399" customWidth="1"/>
    <col min="3586" max="3586" width="52.140625" style="399" customWidth="1"/>
    <col min="3587" max="3587" width="17" style="399" customWidth="1"/>
    <col min="3588" max="3588" width="13.5703125" style="399" customWidth="1"/>
    <col min="3589" max="3589" width="13.7109375" style="399" customWidth="1"/>
    <col min="3590" max="3590" width="12.42578125" style="399" customWidth="1"/>
    <col min="3591" max="3591" width="8.28515625" style="399" customWidth="1"/>
    <col min="3592" max="3592" width="8" style="399" customWidth="1"/>
    <col min="3593" max="3593" width="5.5703125" style="399" customWidth="1"/>
    <col min="3594" max="3594" width="12.7109375" style="399" customWidth="1"/>
    <col min="3595" max="3596" width="0" style="399" hidden="1" customWidth="1"/>
    <col min="3597" max="3597" width="9.42578125" style="399" customWidth="1"/>
    <col min="3598" max="3598" width="8.28515625" style="399" customWidth="1"/>
    <col min="3599" max="3599" width="18" style="399" customWidth="1"/>
    <col min="3600" max="3600" width="8" style="399" customWidth="1"/>
    <col min="3601" max="3602" width="14.85546875" style="399" customWidth="1"/>
    <col min="3603" max="3603" width="8" style="399" customWidth="1"/>
    <col min="3604" max="3604" width="21.28515625" style="399" customWidth="1"/>
    <col min="3605" max="3605" width="9.140625" style="399"/>
    <col min="3606" max="3606" width="13.7109375" style="399" customWidth="1"/>
    <col min="3607" max="3607" width="1.5703125" style="399" customWidth="1"/>
    <col min="3608" max="3840" width="9.140625" style="399"/>
    <col min="3841" max="3841" width="12.28515625" style="399" customWidth="1"/>
    <col min="3842" max="3842" width="52.140625" style="399" customWidth="1"/>
    <col min="3843" max="3843" width="17" style="399" customWidth="1"/>
    <col min="3844" max="3844" width="13.5703125" style="399" customWidth="1"/>
    <col min="3845" max="3845" width="13.7109375" style="399" customWidth="1"/>
    <col min="3846" max="3846" width="12.42578125" style="399" customWidth="1"/>
    <col min="3847" max="3847" width="8.28515625" style="399" customWidth="1"/>
    <col min="3848" max="3848" width="8" style="399" customWidth="1"/>
    <col min="3849" max="3849" width="5.5703125" style="399" customWidth="1"/>
    <col min="3850" max="3850" width="12.7109375" style="399" customWidth="1"/>
    <col min="3851" max="3852" width="0" style="399" hidden="1" customWidth="1"/>
    <col min="3853" max="3853" width="9.42578125" style="399" customWidth="1"/>
    <col min="3854" max="3854" width="8.28515625" style="399" customWidth="1"/>
    <col min="3855" max="3855" width="18" style="399" customWidth="1"/>
    <col min="3856" max="3856" width="8" style="399" customWidth="1"/>
    <col min="3857" max="3858" width="14.85546875" style="399" customWidth="1"/>
    <col min="3859" max="3859" width="8" style="399" customWidth="1"/>
    <col min="3860" max="3860" width="21.28515625" style="399" customWidth="1"/>
    <col min="3861" max="3861" width="9.140625" style="399"/>
    <col min="3862" max="3862" width="13.7109375" style="399" customWidth="1"/>
    <col min="3863" max="3863" width="1.5703125" style="399" customWidth="1"/>
    <col min="3864" max="4096" width="9.140625" style="399"/>
    <col min="4097" max="4097" width="12.28515625" style="399" customWidth="1"/>
    <col min="4098" max="4098" width="52.140625" style="399" customWidth="1"/>
    <col min="4099" max="4099" width="17" style="399" customWidth="1"/>
    <col min="4100" max="4100" width="13.5703125" style="399" customWidth="1"/>
    <col min="4101" max="4101" width="13.7109375" style="399" customWidth="1"/>
    <col min="4102" max="4102" width="12.42578125" style="399" customWidth="1"/>
    <col min="4103" max="4103" width="8.28515625" style="399" customWidth="1"/>
    <col min="4104" max="4104" width="8" style="399" customWidth="1"/>
    <col min="4105" max="4105" width="5.5703125" style="399" customWidth="1"/>
    <col min="4106" max="4106" width="12.7109375" style="399" customWidth="1"/>
    <col min="4107" max="4108" width="0" style="399" hidden="1" customWidth="1"/>
    <col min="4109" max="4109" width="9.42578125" style="399" customWidth="1"/>
    <col min="4110" max="4110" width="8.28515625" style="399" customWidth="1"/>
    <col min="4111" max="4111" width="18" style="399" customWidth="1"/>
    <col min="4112" max="4112" width="8" style="399" customWidth="1"/>
    <col min="4113" max="4114" width="14.85546875" style="399" customWidth="1"/>
    <col min="4115" max="4115" width="8" style="399" customWidth="1"/>
    <col min="4116" max="4116" width="21.28515625" style="399" customWidth="1"/>
    <col min="4117" max="4117" width="9.140625" style="399"/>
    <col min="4118" max="4118" width="13.7109375" style="399" customWidth="1"/>
    <col min="4119" max="4119" width="1.5703125" style="399" customWidth="1"/>
    <col min="4120" max="4352" width="9.140625" style="399"/>
    <col min="4353" max="4353" width="12.28515625" style="399" customWidth="1"/>
    <col min="4354" max="4354" width="52.140625" style="399" customWidth="1"/>
    <col min="4355" max="4355" width="17" style="399" customWidth="1"/>
    <col min="4356" max="4356" width="13.5703125" style="399" customWidth="1"/>
    <col min="4357" max="4357" width="13.7109375" style="399" customWidth="1"/>
    <col min="4358" max="4358" width="12.42578125" style="399" customWidth="1"/>
    <col min="4359" max="4359" width="8.28515625" style="399" customWidth="1"/>
    <col min="4360" max="4360" width="8" style="399" customWidth="1"/>
    <col min="4361" max="4361" width="5.5703125" style="399" customWidth="1"/>
    <col min="4362" max="4362" width="12.7109375" style="399" customWidth="1"/>
    <col min="4363" max="4364" width="0" style="399" hidden="1" customWidth="1"/>
    <col min="4365" max="4365" width="9.42578125" style="399" customWidth="1"/>
    <col min="4366" max="4366" width="8.28515625" style="399" customWidth="1"/>
    <col min="4367" max="4367" width="18" style="399" customWidth="1"/>
    <col min="4368" max="4368" width="8" style="399" customWidth="1"/>
    <col min="4369" max="4370" width="14.85546875" style="399" customWidth="1"/>
    <col min="4371" max="4371" width="8" style="399" customWidth="1"/>
    <col min="4372" max="4372" width="21.28515625" style="399" customWidth="1"/>
    <col min="4373" max="4373" width="9.140625" style="399"/>
    <col min="4374" max="4374" width="13.7109375" style="399" customWidth="1"/>
    <col min="4375" max="4375" width="1.5703125" style="399" customWidth="1"/>
    <col min="4376" max="4608" width="9.140625" style="399"/>
    <col min="4609" max="4609" width="12.28515625" style="399" customWidth="1"/>
    <col min="4610" max="4610" width="52.140625" style="399" customWidth="1"/>
    <col min="4611" max="4611" width="17" style="399" customWidth="1"/>
    <col min="4612" max="4612" width="13.5703125" style="399" customWidth="1"/>
    <col min="4613" max="4613" width="13.7109375" style="399" customWidth="1"/>
    <col min="4614" max="4614" width="12.42578125" style="399" customWidth="1"/>
    <col min="4615" max="4615" width="8.28515625" style="399" customWidth="1"/>
    <col min="4616" max="4616" width="8" style="399" customWidth="1"/>
    <col min="4617" max="4617" width="5.5703125" style="399" customWidth="1"/>
    <col min="4618" max="4618" width="12.7109375" style="399" customWidth="1"/>
    <col min="4619" max="4620" width="0" style="399" hidden="1" customWidth="1"/>
    <col min="4621" max="4621" width="9.42578125" style="399" customWidth="1"/>
    <col min="4622" max="4622" width="8.28515625" style="399" customWidth="1"/>
    <col min="4623" max="4623" width="18" style="399" customWidth="1"/>
    <col min="4624" max="4624" width="8" style="399" customWidth="1"/>
    <col min="4625" max="4626" width="14.85546875" style="399" customWidth="1"/>
    <col min="4627" max="4627" width="8" style="399" customWidth="1"/>
    <col min="4628" max="4628" width="21.28515625" style="399" customWidth="1"/>
    <col min="4629" max="4629" width="9.140625" style="399"/>
    <col min="4630" max="4630" width="13.7109375" style="399" customWidth="1"/>
    <col min="4631" max="4631" width="1.5703125" style="399" customWidth="1"/>
    <col min="4632" max="4864" width="9.140625" style="399"/>
    <col min="4865" max="4865" width="12.28515625" style="399" customWidth="1"/>
    <col min="4866" max="4866" width="52.140625" style="399" customWidth="1"/>
    <col min="4867" max="4867" width="17" style="399" customWidth="1"/>
    <col min="4868" max="4868" width="13.5703125" style="399" customWidth="1"/>
    <col min="4869" max="4869" width="13.7109375" style="399" customWidth="1"/>
    <col min="4870" max="4870" width="12.42578125" style="399" customWidth="1"/>
    <col min="4871" max="4871" width="8.28515625" style="399" customWidth="1"/>
    <col min="4872" max="4872" width="8" style="399" customWidth="1"/>
    <col min="4873" max="4873" width="5.5703125" style="399" customWidth="1"/>
    <col min="4874" max="4874" width="12.7109375" style="399" customWidth="1"/>
    <col min="4875" max="4876" width="0" style="399" hidden="1" customWidth="1"/>
    <col min="4877" max="4877" width="9.42578125" style="399" customWidth="1"/>
    <col min="4878" max="4878" width="8.28515625" style="399" customWidth="1"/>
    <col min="4879" max="4879" width="18" style="399" customWidth="1"/>
    <col min="4880" max="4880" width="8" style="399" customWidth="1"/>
    <col min="4881" max="4882" width="14.85546875" style="399" customWidth="1"/>
    <col min="4883" max="4883" width="8" style="399" customWidth="1"/>
    <col min="4884" max="4884" width="21.28515625" style="399" customWidth="1"/>
    <col min="4885" max="4885" width="9.140625" style="399"/>
    <col min="4886" max="4886" width="13.7109375" style="399" customWidth="1"/>
    <col min="4887" max="4887" width="1.5703125" style="399" customWidth="1"/>
    <col min="4888" max="5120" width="9.140625" style="399"/>
    <col min="5121" max="5121" width="12.28515625" style="399" customWidth="1"/>
    <col min="5122" max="5122" width="52.140625" style="399" customWidth="1"/>
    <col min="5123" max="5123" width="17" style="399" customWidth="1"/>
    <col min="5124" max="5124" width="13.5703125" style="399" customWidth="1"/>
    <col min="5125" max="5125" width="13.7109375" style="399" customWidth="1"/>
    <col min="5126" max="5126" width="12.42578125" style="399" customWidth="1"/>
    <col min="5127" max="5127" width="8.28515625" style="399" customWidth="1"/>
    <col min="5128" max="5128" width="8" style="399" customWidth="1"/>
    <col min="5129" max="5129" width="5.5703125" style="399" customWidth="1"/>
    <col min="5130" max="5130" width="12.7109375" style="399" customWidth="1"/>
    <col min="5131" max="5132" width="0" style="399" hidden="1" customWidth="1"/>
    <col min="5133" max="5133" width="9.42578125" style="399" customWidth="1"/>
    <col min="5134" max="5134" width="8.28515625" style="399" customWidth="1"/>
    <col min="5135" max="5135" width="18" style="399" customWidth="1"/>
    <col min="5136" max="5136" width="8" style="399" customWidth="1"/>
    <col min="5137" max="5138" width="14.85546875" style="399" customWidth="1"/>
    <col min="5139" max="5139" width="8" style="399" customWidth="1"/>
    <col min="5140" max="5140" width="21.28515625" style="399" customWidth="1"/>
    <col min="5141" max="5141" width="9.140625" style="399"/>
    <col min="5142" max="5142" width="13.7109375" style="399" customWidth="1"/>
    <col min="5143" max="5143" width="1.5703125" style="399" customWidth="1"/>
    <col min="5144" max="5376" width="9.140625" style="399"/>
    <col min="5377" max="5377" width="12.28515625" style="399" customWidth="1"/>
    <col min="5378" max="5378" width="52.140625" style="399" customWidth="1"/>
    <col min="5379" max="5379" width="17" style="399" customWidth="1"/>
    <col min="5380" max="5380" width="13.5703125" style="399" customWidth="1"/>
    <col min="5381" max="5381" width="13.7109375" style="399" customWidth="1"/>
    <col min="5382" max="5382" width="12.42578125" style="399" customWidth="1"/>
    <col min="5383" max="5383" width="8.28515625" style="399" customWidth="1"/>
    <col min="5384" max="5384" width="8" style="399" customWidth="1"/>
    <col min="5385" max="5385" width="5.5703125" style="399" customWidth="1"/>
    <col min="5386" max="5386" width="12.7109375" style="399" customWidth="1"/>
    <col min="5387" max="5388" width="0" style="399" hidden="1" customWidth="1"/>
    <col min="5389" max="5389" width="9.42578125" style="399" customWidth="1"/>
    <col min="5390" max="5390" width="8.28515625" style="399" customWidth="1"/>
    <col min="5391" max="5391" width="18" style="399" customWidth="1"/>
    <col min="5392" max="5392" width="8" style="399" customWidth="1"/>
    <col min="5393" max="5394" width="14.85546875" style="399" customWidth="1"/>
    <col min="5395" max="5395" width="8" style="399" customWidth="1"/>
    <col min="5396" max="5396" width="21.28515625" style="399" customWidth="1"/>
    <col min="5397" max="5397" width="9.140625" style="399"/>
    <col min="5398" max="5398" width="13.7109375" style="399" customWidth="1"/>
    <col min="5399" max="5399" width="1.5703125" style="399" customWidth="1"/>
    <col min="5400" max="5632" width="9.140625" style="399"/>
    <col min="5633" max="5633" width="12.28515625" style="399" customWidth="1"/>
    <col min="5634" max="5634" width="52.140625" style="399" customWidth="1"/>
    <col min="5635" max="5635" width="17" style="399" customWidth="1"/>
    <col min="5636" max="5636" width="13.5703125" style="399" customWidth="1"/>
    <col min="5637" max="5637" width="13.7109375" style="399" customWidth="1"/>
    <col min="5638" max="5638" width="12.42578125" style="399" customWidth="1"/>
    <col min="5639" max="5639" width="8.28515625" style="399" customWidth="1"/>
    <col min="5640" max="5640" width="8" style="399" customWidth="1"/>
    <col min="5641" max="5641" width="5.5703125" style="399" customWidth="1"/>
    <col min="5642" max="5642" width="12.7109375" style="399" customWidth="1"/>
    <col min="5643" max="5644" width="0" style="399" hidden="1" customWidth="1"/>
    <col min="5645" max="5645" width="9.42578125" style="399" customWidth="1"/>
    <col min="5646" max="5646" width="8.28515625" style="399" customWidth="1"/>
    <col min="5647" max="5647" width="18" style="399" customWidth="1"/>
    <col min="5648" max="5648" width="8" style="399" customWidth="1"/>
    <col min="5649" max="5650" width="14.85546875" style="399" customWidth="1"/>
    <col min="5651" max="5651" width="8" style="399" customWidth="1"/>
    <col min="5652" max="5652" width="21.28515625" style="399" customWidth="1"/>
    <col min="5653" max="5653" width="9.140625" style="399"/>
    <col min="5654" max="5654" width="13.7109375" style="399" customWidth="1"/>
    <col min="5655" max="5655" width="1.5703125" style="399" customWidth="1"/>
    <col min="5656" max="5888" width="9.140625" style="399"/>
    <col min="5889" max="5889" width="12.28515625" style="399" customWidth="1"/>
    <col min="5890" max="5890" width="52.140625" style="399" customWidth="1"/>
    <col min="5891" max="5891" width="17" style="399" customWidth="1"/>
    <col min="5892" max="5892" width="13.5703125" style="399" customWidth="1"/>
    <col min="5893" max="5893" width="13.7109375" style="399" customWidth="1"/>
    <col min="5894" max="5894" width="12.42578125" style="399" customWidth="1"/>
    <col min="5895" max="5895" width="8.28515625" style="399" customWidth="1"/>
    <col min="5896" max="5896" width="8" style="399" customWidth="1"/>
    <col min="5897" max="5897" width="5.5703125" style="399" customWidth="1"/>
    <col min="5898" max="5898" width="12.7109375" style="399" customWidth="1"/>
    <col min="5899" max="5900" width="0" style="399" hidden="1" customWidth="1"/>
    <col min="5901" max="5901" width="9.42578125" style="399" customWidth="1"/>
    <col min="5902" max="5902" width="8.28515625" style="399" customWidth="1"/>
    <col min="5903" max="5903" width="18" style="399" customWidth="1"/>
    <col min="5904" max="5904" width="8" style="399" customWidth="1"/>
    <col min="5905" max="5906" width="14.85546875" style="399" customWidth="1"/>
    <col min="5907" max="5907" width="8" style="399" customWidth="1"/>
    <col min="5908" max="5908" width="21.28515625" style="399" customWidth="1"/>
    <col min="5909" max="5909" width="9.140625" style="399"/>
    <col min="5910" max="5910" width="13.7109375" style="399" customWidth="1"/>
    <col min="5911" max="5911" width="1.5703125" style="399" customWidth="1"/>
    <col min="5912" max="6144" width="9.140625" style="399"/>
    <col min="6145" max="6145" width="12.28515625" style="399" customWidth="1"/>
    <col min="6146" max="6146" width="52.140625" style="399" customWidth="1"/>
    <col min="6147" max="6147" width="17" style="399" customWidth="1"/>
    <col min="6148" max="6148" width="13.5703125" style="399" customWidth="1"/>
    <col min="6149" max="6149" width="13.7109375" style="399" customWidth="1"/>
    <col min="6150" max="6150" width="12.42578125" style="399" customWidth="1"/>
    <col min="6151" max="6151" width="8.28515625" style="399" customWidth="1"/>
    <col min="6152" max="6152" width="8" style="399" customWidth="1"/>
    <col min="6153" max="6153" width="5.5703125" style="399" customWidth="1"/>
    <col min="6154" max="6154" width="12.7109375" style="399" customWidth="1"/>
    <col min="6155" max="6156" width="0" style="399" hidden="1" customWidth="1"/>
    <col min="6157" max="6157" width="9.42578125" style="399" customWidth="1"/>
    <col min="6158" max="6158" width="8.28515625" style="399" customWidth="1"/>
    <col min="6159" max="6159" width="18" style="399" customWidth="1"/>
    <col min="6160" max="6160" width="8" style="399" customWidth="1"/>
    <col min="6161" max="6162" width="14.85546875" style="399" customWidth="1"/>
    <col min="6163" max="6163" width="8" style="399" customWidth="1"/>
    <col min="6164" max="6164" width="21.28515625" style="399" customWidth="1"/>
    <col min="6165" max="6165" width="9.140625" style="399"/>
    <col min="6166" max="6166" width="13.7109375" style="399" customWidth="1"/>
    <col min="6167" max="6167" width="1.5703125" style="399" customWidth="1"/>
    <col min="6168" max="6400" width="9.140625" style="399"/>
    <col min="6401" max="6401" width="12.28515625" style="399" customWidth="1"/>
    <col min="6402" max="6402" width="52.140625" style="399" customWidth="1"/>
    <col min="6403" max="6403" width="17" style="399" customWidth="1"/>
    <col min="6404" max="6404" width="13.5703125" style="399" customWidth="1"/>
    <col min="6405" max="6405" width="13.7109375" style="399" customWidth="1"/>
    <col min="6406" max="6406" width="12.42578125" style="399" customWidth="1"/>
    <col min="6407" max="6407" width="8.28515625" style="399" customWidth="1"/>
    <col min="6408" max="6408" width="8" style="399" customWidth="1"/>
    <col min="6409" max="6409" width="5.5703125" style="399" customWidth="1"/>
    <col min="6410" max="6410" width="12.7109375" style="399" customWidth="1"/>
    <col min="6411" max="6412" width="0" style="399" hidden="1" customWidth="1"/>
    <col min="6413" max="6413" width="9.42578125" style="399" customWidth="1"/>
    <col min="6414" max="6414" width="8.28515625" style="399" customWidth="1"/>
    <col min="6415" max="6415" width="18" style="399" customWidth="1"/>
    <col min="6416" max="6416" width="8" style="399" customWidth="1"/>
    <col min="6417" max="6418" width="14.85546875" style="399" customWidth="1"/>
    <col min="6419" max="6419" width="8" style="399" customWidth="1"/>
    <col min="6420" max="6420" width="21.28515625" style="399" customWidth="1"/>
    <col min="6421" max="6421" width="9.140625" style="399"/>
    <col min="6422" max="6422" width="13.7109375" style="399" customWidth="1"/>
    <col min="6423" max="6423" width="1.5703125" style="399" customWidth="1"/>
    <col min="6424" max="6656" width="9.140625" style="399"/>
    <col min="6657" max="6657" width="12.28515625" style="399" customWidth="1"/>
    <col min="6658" max="6658" width="52.140625" style="399" customWidth="1"/>
    <col min="6659" max="6659" width="17" style="399" customWidth="1"/>
    <col min="6660" max="6660" width="13.5703125" style="399" customWidth="1"/>
    <col min="6661" max="6661" width="13.7109375" style="399" customWidth="1"/>
    <col min="6662" max="6662" width="12.42578125" style="399" customWidth="1"/>
    <col min="6663" max="6663" width="8.28515625" style="399" customWidth="1"/>
    <col min="6664" max="6664" width="8" style="399" customWidth="1"/>
    <col min="6665" max="6665" width="5.5703125" style="399" customWidth="1"/>
    <col min="6666" max="6666" width="12.7109375" style="399" customWidth="1"/>
    <col min="6667" max="6668" width="0" style="399" hidden="1" customWidth="1"/>
    <col min="6669" max="6669" width="9.42578125" style="399" customWidth="1"/>
    <col min="6670" max="6670" width="8.28515625" style="399" customWidth="1"/>
    <col min="6671" max="6671" width="18" style="399" customWidth="1"/>
    <col min="6672" max="6672" width="8" style="399" customWidth="1"/>
    <col min="6673" max="6674" width="14.85546875" style="399" customWidth="1"/>
    <col min="6675" max="6675" width="8" style="399" customWidth="1"/>
    <col min="6676" max="6676" width="21.28515625" style="399" customWidth="1"/>
    <col min="6677" max="6677" width="9.140625" style="399"/>
    <col min="6678" max="6678" width="13.7109375" style="399" customWidth="1"/>
    <col min="6679" max="6679" width="1.5703125" style="399" customWidth="1"/>
    <col min="6680" max="6912" width="9.140625" style="399"/>
    <col min="6913" max="6913" width="12.28515625" style="399" customWidth="1"/>
    <col min="6914" max="6914" width="52.140625" style="399" customWidth="1"/>
    <col min="6915" max="6915" width="17" style="399" customWidth="1"/>
    <col min="6916" max="6916" width="13.5703125" style="399" customWidth="1"/>
    <col min="6917" max="6917" width="13.7109375" style="399" customWidth="1"/>
    <col min="6918" max="6918" width="12.42578125" style="399" customWidth="1"/>
    <col min="6919" max="6919" width="8.28515625" style="399" customWidth="1"/>
    <col min="6920" max="6920" width="8" style="399" customWidth="1"/>
    <col min="6921" max="6921" width="5.5703125" style="399" customWidth="1"/>
    <col min="6922" max="6922" width="12.7109375" style="399" customWidth="1"/>
    <col min="6923" max="6924" width="0" style="399" hidden="1" customWidth="1"/>
    <col min="6925" max="6925" width="9.42578125" style="399" customWidth="1"/>
    <col min="6926" max="6926" width="8.28515625" style="399" customWidth="1"/>
    <col min="6927" max="6927" width="18" style="399" customWidth="1"/>
    <col min="6928" max="6928" width="8" style="399" customWidth="1"/>
    <col min="6929" max="6930" width="14.85546875" style="399" customWidth="1"/>
    <col min="6931" max="6931" width="8" style="399" customWidth="1"/>
    <col min="6932" max="6932" width="21.28515625" style="399" customWidth="1"/>
    <col min="6933" max="6933" width="9.140625" style="399"/>
    <col min="6934" max="6934" width="13.7109375" style="399" customWidth="1"/>
    <col min="6935" max="6935" width="1.5703125" style="399" customWidth="1"/>
    <col min="6936" max="7168" width="9.140625" style="399"/>
    <col min="7169" max="7169" width="12.28515625" style="399" customWidth="1"/>
    <col min="7170" max="7170" width="52.140625" style="399" customWidth="1"/>
    <col min="7171" max="7171" width="17" style="399" customWidth="1"/>
    <col min="7172" max="7172" width="13.5703125" style="399" customWidth="1"/>
    <col min="7173" max="7173" width="13.7109375" style="399" customWidth="1"/>
    <col min="7174" max="7174" width="12.42578125" style="399" customWidth="1"/>
    <col min="7175" max="7175" width="8.28515625" style="399" customWidth="1"/>
    <col min="7176" max="7176" width="8" style="399" customWidth="1"/>
    <col min="7177" max="7177" width="5.5703125" style="399" customWidth="1"/>
    <col min="7178" max="7178" width="12.7109375" style="399" customWidth="1"/>
    <col min="7179" max="7180" width="0" style="399" hidden="1" customWidth="1"/>
    <col min="7181" max="7181" width="9.42578125" style="399" customWidth="1"/>
    <col min="7182" max="7182" width="8.28515625" style="399" customWidth="1"/>
    <col min="7183" max="7183" width="18" style="399" customWidth="1"/>
    <col min="7184" max="7184" width="8" style="399" customWidth="1"/>
    <col min="7185" max="7186" width="14.85546875" style="399" customWidth="1"/>
    <col min="7187" max="7187" width="8" style="399" customWidth="1"/>
    <col min="7188" max="7188" width="21.28515625" style="399" customWidth="1"/>
    <col min="7189" max="7189" width="9.140625" style="399"/>
    <col min="7190" max="7190" width="13.7109375" style="399" customWidth="1"/>
    <col min="7191" max="7191" width="1.5703125" style="399" customWidth="1"/>
    <col min="7192" max="7424" width="9.140625" style="399"/>
    <col min="7425" max="7425" width="12.28515625" style="399" customWidth="1"/>
    <col min="7426" max="7426" width="52.140625" style="399" customWidth="1"/>
    <col min="7427" max="7427" width="17" style="399" customWidth="1"/>
    <col min="7428" max="7428" width="13.5703125" style="399" customWidth="1"/>
    <col min="7429" max="7429" width="13.7109375" style="399" customWidth="1"/>
    <col min="7430" max="7430" width="12.42578125" style="399" customWidth="1"/>
    <col min="7431" max="7431" width="8.28515625" style="399" customWidth="1"/>
    <col min="7432" max="7432" width="8" style="399" customWidth="1"/>
    <col min="7433" max="7433" width="5.5703125" style="399" customWidth="1"/>
    <col min="7434" max="7434" width="12.7109375" style="399" customWidth="1"/>
    <col min="7435" max="7436" width="0" style="399" hidden="1" customWidth="1"/>
    <col min="7437" max="7437" width="9.42578125" style="399" customWidth="1"/>
    <col min="7438" max="7438" width="8.28515625" style="399" customWidth="1"/>
    <col min="7439" max="7439" width="18" style="399" customWidth="1"/>
    <col min="7440" max="7440" width="8" style="399" customWidth="1"/>
    <col min="7441" max="7442" width="14.85546875" style="399" customWidth="1"/>
    <col min="7443" max="7443" width="8" style="399" customWidth="1"/>
    <col min="7444" max="7444" width="21.28515625" style="399" customWidth="1"/>
    <col min="7445" max="7445" width="9.140625" style="399"/>
    <col min="7446" max="7446" width="13.7109375" style="399" customWidth="1"/>
    <col min="7447" max="7447" width="1.5703125" style="399" customWidth="1"/>
    <col min="7448" max="7680" width="9.140625" style="399"/>
    <col min="7681" max="7681" width="12.28515625" style="399" customWidth="1"/>
    <col min="7682" max="7682" width="52.140625" style="399" customWidth="1"/>
    <col min="7683" max="7683" width="17" style="399" customWidth="1"/>
    <col min="7684" max="7684" width="13.5703125" style="399" customWidth="1"/>
    <col min="7685" max="7685" width="13.7109375" style="399" customWidth="1"/>
    <col min="7686" max="7686" width="12.42578125" style="399" customWidth="1"/>
    <col min="7687" max="7687" width="8.28515625" style="399" customWidth="1"/>
    <col min="7688" max="7688" width="8" style="399" customWidth="1"/>
    <col min="7689" max="7689" width="5.5703125" style="399" customWidth="1"/>
    <col min="7690" max="7690" width="12.7109375" style="399" customWidth="1"/>
    <col min="7691" max="7692" width="0" style="399" hidden="1" customWidth="1"/>
    <col min="7693" max="7693" width="9.42578125" style="399" customWidth="1"/>
    <col min="7694" max="7694" width="8.28515625" style="399" customWidth="1"/>
    <col min="7695" max="7695" width="18" style="399" customWidth="1"/>
    <col min="7696" max="7696" width="8" style="399" customWidth="1"/>
    <col min="7697" max="7698" width="14.85546875" style="399" customWidth="1"/>
    <col min="7699" max="7699" width="8" style="399" customWidth="1"/>
    <col min="7700" max="7700" width="21.28515625" style="399" customWidth="1"/>
    <col min="7701" max="7701" width="9.140625" style="399"/>
    <col min="7702" max="7702" width="13.7109375" style="399" customWidth="1"/>
    <col min="7703" max="7703" width="1.5703125" style="399" customWidth="1"/>
    <col min="7704" max="7936" width="9.140625" style="399"/>
    <col min="7937" max="7937" width="12.28515625" style="399" customWidth="1"/>
    <col min="7938" max="7938" width="52.140625" style="399" customWidth="1"/>
    <col min="7939" max="7939" width="17" style="399" customWidth="1"/>
    <col min="7940" max="7940" width="13.5703125" style="399" customWidth="1"/>
    <col min="7941" max="7941" width="13.7109375" style="399" customWidth="1"/>
    <col min="7942" max="7942" width="12.42578125" style="399" customWidth="1"/>
    <col min="7943" max="7943" width="8.28515625" style="399" customWidth="1"/>
    <col min="7944" max="7944" width="8" style="399" customWidth="1"/>
    <col min="7945" max="7945" width="5.5703125" style="399" customWidth="1"/>
    <col min="7946" max="7946" width="12.7109375" style="399" customWidth="1"/>
    <col min="7947" max="7948" width="0" style="399" hidden="1" customWidth="1"/>
    <col min="7949" max="7949" width="9.42578125" style="399" customWidth="1"/>
    <col min="7950" max="7950" width="8.28515625" style="399" customWidth="1"/>
    <col min="7951" max="7951" width="18" style="399" customWidth="1"/>
    <col min="7952" max="7952" width="8" style="399" customWidth="1"/>
    <col min="7953" max="7954" width="14.85546875" style="399" customWidth="1"/>
    <col min="7955" max="7955" width="8" style="399" customWidth="1"/>
    <col min="7956" max="7956" width="21.28515625" style="399" customWidth="1"/>
    <col min="7957" max="7957" width="9.140625" style="399"/>
    <col min="7958" max="7958" width="13.7109375" style="399" customWidth="1"/>
    <col min="7959" max="7959" width="1.5703125" style="399" customWidth="1"/>
    <col min="7960" max="8192" width="9.140625" style="399"/>
    <col min="8193" max="8193" width="12.28515625" style="399" customWidth="1"/>
    <col min="8194" max="8194" width="52.140625" style="399" customWidth="1"/>
    <col min="8195" max="8195" width="17" style="399" customWidth="1"/>
    <col min="8196" max="8196" width="13.5703125" style="399" customWidth="1"/>
    <col min="8197" max="8197" width="13.7109375" style="399" customWidth="1"/>
    <col min="8198" max="8198" width="12.42578125" style="399" customWidth="1"/>
    <col min="8199" max="8199" width="8.28515625" style="399" customWidth="1"/>
    <col min="8200" max="8200" width="8" style="399" customWidth="1"/>
    <col min="8201" max="8201" width="5.5703125" style="399" customWidth="1"/>
    <col min="8202" max="8202" width="12.7109375" style="399" customWidth="1"/>
    <col min="8203" max="8204" width="0" style="399" hidden="1" customWidth="1"/>
    <col min="8205" max="8205" width="9.42578125" style="399" customWidth="1"/>
    <col min="8206" max="8206" width="8.28515625" style="399" customWidth="1"/>
    <col min="8207" max="8207" width="18" style="399" customWidth="1"/>
    <col min="8208" max="8208" width="8" style="399" customWidth="1"/>
    <col min="8209" max="8210" width="14.85546875" style="399" customWidth="1"/>
    <col min="8211" max="8211" width="8" style="399" customWidth="1"/>
    <col min="8212" max="8212" width="21.28515625" style="399" customWidth="1"/>
    <col min="8213" max="8213" width="9.140625" style="399"/>
    <col min="8214" max="8214" width="13.7109375" style="399" customWidth="1"/>
    <col min="8215" max="8215" width="1.5703125" style="399" customWidth="1"/>
    <col min="8216" max="8448" width="9.140625" style="399"/>
    <col min="8449" max="8449" width="12.28515625" style="399" customWidth="1"/>
    <col min="8450" max="8450" width="52.140625" style="399" customWidth="1"/>
    <col min="8451" max="8451" width="17" style="399" customWidth="1"/>
    <col min="8452" max="8452" width="13.5703125" style="399" customWidth="1"/>
    <col min="8453" max="8453" width="13.7109375" style="399" customWidth="1"/>
    <col min="8454" max="8454" width="12.42578125" style="399" customWidth="1"/>
    <col min="8455" max="8455" width="8.28515625" style="399" customWidth="1"/>
    <col min="8456" max="8456" width="8" style="399" customWidth="1"/>
    <col min="8457" max="8457" width="5.5703125" style="399" customWidth="1"/>
    <col min="8458" max="8458" width="12.7109375" style="399" customWidth="1"/>
    <col min="8459" max="8460" width="0" style="399" hidden="1" customWidth="1"/>
    <col min="8461" max="8461" width="9.42578125" style="399" customWidth="1"/>
    <col min="8462" max="8462" width="8.28515625" style="399" customWidth="1"/>
    <col min="8463" max="8463" width="18" style="399" customWidth="1"/>
    <col min="8464" max="8464" width="8" style="399" customWidth="1"/>
    <col min="8465" max="8466" width="14.85546875" style="399" customWidth="1"/>
    <col min="8467" max="8467" width="8" style="399" customWidth="1"/>
    <col min="8468" max="8468" width="21.28515625" style="399" customWidth="1"/>
    <col min="8469" max="8469" width="9.140625" style="399"/>
    <col min="8470" max="8470" width="13.7109375" style="399" customWidth="1"/>
    <col min="8471" max="8471" width="1.5703125" style="399" customWidth="1"/>
    <col min="8472" max="8704" width="9.140625" style="399"/>
    <col min="8705" max="8705" width="12.28515625" style="399" customWidth="1"/>
    <col min="8706" max="8706" width="52.140625" style="399" customWidth="1"/>
    <col min="8707" max="8707" width="17" style="399" customWidth="1"/>
    <col min="8708" max="8708" width="13.5703125" style="399" customWidth="1"/>
    <col min="8709" max="8709" width="13.7109375" style="399" customWidth="1"/>
    <col min="8710" max="8710" width="12.42578125" style="399" customWidth="1"/>
    <col min="8711" max="8711" width="8.28515625" style="399" customWidth="1"/>
    <col min="8712" max="8712" width="8" style="399" customWidth="1"/>
    <col min="8713" max="8713" width="5.5703125" style="399" customWidth="1"/>
    <col min="8714" max="8714" width="12.7109375" style="399" customWidth="1"/>
    <col min="8715" max="8716" width="0" style="399" hidden="1" customWidth="1"/>
    <col min="8717" max="8717" width="9.42578125" style="399" customWidth="1"/>
    <col min="8718" max="8718" width="8.28515625" style="399" customWidth="1"/>
    <col min="8719" max="8719" width="18" style="399" customWidth="1"/>
    <col min="8720" max="8720" width="8" style="399" customWidth="1"/>
    <col min="8721" max="8722" width="14.85546875" style="399" customWidth="1"/>
    <col min="8723" max="8723" width="8" style="399" customWidth="1"/>
    <col min="8724" max="8724" width="21.28515625" style="399" customWidth="1"/>
    <col min="8725" max="8725" width="9.140625" style="399"/>
    <col min="8726" max="8726" width="13.7109375" style="399" customWidth="1"/>
    <col min="8727" max="8727" width="1.5703125" style="399" customWidth="1"/>
    <col min="8728" max="8960" width="9.140625" style="399"/>
    <col min="8961" max="8961" width="12.28515625" style="399" customWidth="1"/>
    <col min="8962" max="8962" width="52.140625" style="399" customWidth="1"/>
    <col min="8963" max="8963" width="17" style="399" customWidth="1"/>
    <col min="8964" max="8964" width="13.5703125" style="399" customWidth="1"/>
    <col min="8965" max="8965" width="13.7109375" style="399" customWidth="1"/>
    <col min="8966" max="8966" width="12.42578125" style="399" customWidth="1"/>
    <col min="8967" max="8967" width="8.28515625" style="399" customWidth="1"/>
    <col min="8968" max="8968" width="8" style="399" customWidth="1"/>
    <col min="8969" max="8969" width="5.5703125" style="399" customWidth="1"/>
    <col min="8970" max="8970" width="12.7109375" style="399" customWidth="1"/>
    <col min="8971" max="8972" width="0" style="399" hidden="1" customWidth="1"/>
    <col min="8973" max="8973" width="9.42578125" style="399" customWidth="1"/>
    <col min="8974" max="8974" width="8.28515625" style="399" customWidth="1"/>
    <col min="8975" max="8975" width="18" style="399" customWidth="1"/>
    <col min="8976" max="8976" width="8" style="399" customWidth="1"/>
    <col min="8977" max="8978" width="14.85546875" style="399" customWidth="1"/>
    <col min="8979" max="8979" width="8" style="399" customWidth="1"/>
    <col min="8980" max="8980" width="21.28515625" style="399" customWidth="1"/>
    <col min="8981" max="8981" width="9.140625" style="399"/>
    <col min="8982" max="8982" width="13.7109375" style="399" customWidth="1"/>
    <col min="8983" max="8983" width="1.5703125" style="399" customWidth="1"/>
    <col min="8984" max="9216" width="9.140625" style="399"/>
    <col min="9217" max="9217" width="12.28515625" style="399" customWidth="1"/>
    <col min="9218" max="9218" width="52.140625" style="399" customWidth="1"/>
    <col min="9219" max="9219" width="17" style="399" customWidth="1"/>
    <col min="9220" max="9220" width="13.5703125" style="399" customWidth="1"/>
    <col min="9221" max="9221" width="13.7109375" style="399" customWidth="1"/>
    <col min="9222" max="9222" width="12.42578125" style="399" customWidth="1"/>
    <col min="9223" max="9223" width="8.28515625" style="399" customWidth="1"/>
    <col min="9224" max="9224" width="8" style="399" customWidth="1"/>
    <col min="9225" max="9225" width="5.5703125" style="399" customWidth="1"/>
    <col min="9226" max="9226" width="12.7109375" style="399" customWidth="1"/>
    <col min="9227" max="9228" width="0" style="399" hidden="1" customWidth="1"/>
    <col min="9229" max="9229" width="9.42578125" style="399" customWidth="1"/>
    <col min="9230" max="9230" width="8.28515625" style="399" customWidth="1"/>
    <col min="9231" max="9231" width="18" style="399" customWidth="1"/>
    <col min="9232" max="9232" width="8" style="399" customWidth="1"/>
    <col min="9233" max="9234" width="14.85546875" style="399" customWidth="1"/>
    <col min="9235" max="9235" width="8" style="399" customWidth="1"/>
    <col min="9236" max="9236" width="21.28515625" style="399" customWidth="1"/>
    <col min="9237" max="9237" width="9.140625" style="399"/>
    <col min="9238" max="9238" width="13.7109375" style="399" customWidth="1"/>
    <col min="9239" max="9239" width="1.5703125" style="399" customWidth="1"/>
    <col min="9240" max="9472" width="9.140625" style="399"/>
    <col min="9473" max="9473" width="12.28515625" style="399" customWidth="1"/>
    <col min="9474" max="9474" width="52.140625" style="399" customWidth="1"/>
    <col min="9475" max="9475" width="17" style="399" customWidth="1"/>
    <col min="9476" max="9476" width="13.5703125" style="399" customWidth="1"/>
    <col min="9477" max="9477" width="13.7109375" style="399" customWidth="1"/>
    <col min="9478" max="9478" width="12.42578125" style="399" customWidth="1"/>
    <col min="9479" max="9479" width="8.28515625" style="399" customWidth="1"/>
    <col min="9480" max="9480" width="8" style="399" customWidth="1"/>
    <col min="9481" max="9481" width="5.5703125" style="399" customWidth="1"/>
    <col min="9482" max="9482" width="12.7109375" style="399" customWidth="1"/>
    <col min="9483" max="9484" width="0" style="399" hidden="1" customWidth="1"/>
    <col min="9485" max="9485" width="9.42578125" style="399" customWidth="1"/>
    <col min="9486" max="9486" width="8.28515625" style="399" customWidth="1"/>
    <col min="9487" max="9487" width="18" style="399" customWidth="1"/>
    <col min="9488" max="9488" width="8" style="399" customWidth="1"/>
    <col min="9489" max="9490" width="14.85546875" style="399" customWidth="1"/>
    <col min="9491" max="9491" width="8" style="399" customWidth="1"/>
    <col min="9492" max="9492" width="21.28515625" style="399" customWidth="1"/>
    <col min="9493" max="9493" width="9.140625" style="399"/>
    <col min="9494" max="9494" width="13.7109375" style="399" customWidth="1"/>
    <col min="9495" max="9495" width="1.5703125" style="399" customWidth="1"/>
    <col min="9496" max="9728" width="9.140625" style="399"/>
    <col min="9729" max="9729" width="12.28515625" style="399" customWidth="1"/>
    <col min="9730" max="9730" width="52.140625" style="399" customWidth="1"/>
    <col min="9731" max="9731" width="17" style="399" customWidth="1"/>
    <col min="9732" max="9732" width="13.5703125" style="399" customWidth="1"/>
    <col min="9733" max="9733" width="13.7109375" style="399" customWidth="1"/>
    <col min="9734" max="9734" width="12.42578125" style="399" customWidth="1"/>
    <col min="9735" max="9735" width="8.28515625" style="399" customWidth="1"/>
    <col min="9736" max="9736" width="8" style="399" customWidth="1"/>
    <col min="9737" max="9737" width="5.5703125" style="399" customWidth="1"/>
    <col min="9738" max="9738" width="12.7109375" style="399" customWidth="1"/>
    <col min="9739" max="9740" width="0" style="399" hidden="1" customWidth="1"/>
    <col min="9741" max="9741" width="9.42578125" style="399" customWidth="1"/>
    <col min="9742" max="9742" width="8.28515625" style="399" customWidth="1"/>
    <col min="9743" max="9743" width="18" style="399" customWidth="1"/>
    <col min="9744" max="9744" width="8" style="399" customWidth="1"/>
    <col min="9745" max="9746" width="14.85546875" style="399" customWidth="1"/>
    <col min="9747" max="9747" width="8" style="399" customWidth="1"/>
    <col min="9748" max="9748" width="21.28515625" style="399" customWidth="1"/>
    <col min="9749" max="9749" width="9.140625" style="399"/>
    <col min="9750" max="9750" width="13.7109375" style="399" customWidth="1"/>
    <col min="9751" max="9751" width="1.5703125" style="399" customWidth="1"/>
    <col min="9752" max="9984" width="9.140625" style="399"/>
    <col min="9985" max="9985" width="12.28515625" style="399" customWidth="1"/>
    <col min="9986" max="9986" width="52.140625" style="399" customWidth="1"/>
    <col min="9987" max="9987" width="17" style="399" customWidth="1"/>
    <col min="9988" max="9988" width="13.5703125" style="399" customWidth="1"/>
    <col min="9989" max="9989" width="13.7109375" style="399" customWidth="1"/>
    <col min="9990" max="9990" width="12.42578125" style="399" customWidth="1"/>
    <col min="9991" max="9991" width="8.28515625" style="399" customWidth="1"/>
    <col min="9992" max="9992" width="8" style="399" customWidth="1"/>
    <col min="9993" max="9993" width="5.5703125" style="399" customWidth="1"/>
    <col min="9994" max="9994" width="12.7109375" style="399" customWidth="1"/>
    <col min="9995" max="9996" width="0" style="399" hidden="1" customWidth="1"/>
    <col min="9997" max="9997" width="9.42578125" style="399" customWidth="1"/>
    <col min="9998" max="9998" width="8.28515625" style="399" customWidth="1"/>
    <col min="9999" max="9999" width="18" style="399" customWidth="1"/>
    <col min="10000" max="10000" width="8" style="399" customWidth="1"/>
    <col min="10001" max="10002" width="14.85546875" style="399" customWidth="1"/>
    <col min="10003" max="10003" width="8" style="399" customWidth="1"/>
    <col min="10004" max="10004" width="21.28515625" style="399" customWidth="1"/>
    <col min="10005" max="10005" width="9.140625" style="399"/>
    <col min="10006" max="10006" width="13.7109375" style="399" customWidth="1"/>
    <col min="10007" max="10007" width="1.5703125" style="399" customWidth="1"/>
    <col min="10008" max="10240" width="9.140625" style="399"/>
    <col min="10241" max="10241" width="12.28515625" style="399" customWidth="1"/>
    <col min="10242" max="10242" width="52.140625" style="399" customWidth="1"/>
    <col min="10243" max="10243" width="17" style="399" customWidth="1"/>
    <col min="10244" max="10244" width="13.5703125" style="399" customWidth="1"/>
    <col min="10245" max="10245" width="13.7109375" style="399" customWidth="1"/>
    <col min="10246" max="10246" width="12.42578125" style="399" customWidth="1"/>
    <col min="10247" max="10247" width="8.28515625" style="399" customWidth="1"/>
    <col min="10248" max="10248" width="8" style="399" customWidth="1"/>
    <col min="10249" max="10249" width="5.5703125" style="399" customWidth="1"/>
    <col min="10250" max="10250" width="12.7109375" style="399" customWidth="1"/>
    <col min="10251" max="10252" width="0" style="399" hidden="1" customWidth="1"/>
    <col min="10253" max="10253" width="9.42578125" style="399" customWidth="1"/>
    <col min="10254" max="10254" width="8.28515625" style="399" customWidth="1"/>
    <col min="10255" max="10255" width="18" style="399" customWidth="1"/>
    <col min="10256" max="10256" width="8" style="399" customWidth="1"/>
    <col min="10257" max="10258" width="14.85546875" style="399" customWidth="1"/>
    <col min="10259" max="10259" width="8" style="399" customWidth="1"/>
    <col min="10260" max="10260" width="21.28515625" style="399" customWidth="1"/>
    <col min="10261" max="10261" width="9.140625" style="399"/>
    <col min="10262" max="10262" width="13.7109375" style="399" customWidth="1"/>
    <col min="10263" max="10263" width="1.5703125" style="399" customWidth="1"/>
    <col min="10264" max="10496" width="9.140625" style="399"/>
    <col min="10497" max="10497" width="12.28515625" style="399" customWidth="1"/>
    <col min="10498" max="10498" width="52.140625" style="399" customWidth="1"/>
    <col min="10499" max="10499" width="17" style="399" customWidth="1"/>
    <col min="10500" max="10500" width="13.5703125" style="399" customWidth="1"/>
    <col min="10501" max="10501" width="13.7109375" style="399" customWidth="1"/>
    <col min="10502" max="10502" width="12.42578125" style="399" customWidth="1"/>
    <col min="10503" max="10503" width="8.28515625" style="399" customWidth="1"/>
    <col min="10504" max="10504" width="8" style="399" customWidth="1"/>
    <col min="10505" max="10505" width="5.5703125" style="399" customWidth="1"/>
    <col min="10506" max="10506" width="12.7109375" style="399" customWidth="1"/>
    <col min="10507" max="10508" width="0" style="399" hidden="1" customWidth="1"/>
    <col min="10509" max="10509" width="9.42578125" style="399" customWidth="1"/>
    <col min="10510" max="10510" width="8.28515625" style="399" customWidth="1"/>
    <col min="10511" max="10511" width="18" style="399" customWidth="1"/>
    <col min="10512" max="10512" width="8" style="399" customWidth="1"/>
    <col min="10513" max="10514" width="14.85546875" style="399" customWidth="1"/>
    <col min="10515" max="10515" width="8" style="399" customWidth="1"/>
    <col min="10516" max="10516" width="21.28515625" style="399" customWidth="1"/>
    <col min="10517" max="10517" width="9.140625" style="399"/>
    <col min="10518" max="10518" width="13.7109375" style="399" customWidth="1"/>
    <col min="10519" max="10519" width="1.5703125" style="399" customWidth="1"/>
    <col min="10520" max="10752" width="9.140625" style="399"/>
    <col min="10753" max="10753" width="12.28515625" style="399" customWidth="1"/>
    <col min="10754" max="10754" width="52.140625" style="399" customWidth="1"/>
    <col min="10755" max="10755" width="17" style="399" customWidth="1"/>
    <col min="10756" max="10756" width="13.5703125" style="399" customWidth="1"/>
    <col min="10757" max="10757" width="13.7109375" style="399" customWidth="1"/>
    <col min="10758" max="10758" width="12.42578125" style="399" customWidth="1"/>
    <col min="10759" max="10759" width="8.28515625" style="399" customWidth="1"/>
    <col min="10760" max="10760" width="8" style="399" customWidth="1"/>
    <col min="10761" max="10761" width="5.5703125" style="399" customWidth="1"/>
    <col min="10762" max="10762" width="12.7109375" style="399" customWidth="1"/>
    <col min="10763" max="10764" width="0" style="399" hidden="1" customWidth="1"/>
    <col min="10765" max="10765" width="9.42578125" style="399" customWidth="1"/>
    <col min="10766" max="10766" width="8.28515625" style="399" customWidth="1"/>
    <col min="10767" max="10767" width="18" style="399" customWidth="1"/>
    <col min="10768" max="10768" width="8" style="399" customWidth="1"/>
    <col min="10769" max="10770" width="14.85546875" style="399" customWidth="1"/>
    <col min="10771" max="10771" width="8" style="399" customWidth="1"/>
    <col min="10772" max="10772" width="21.28515625" style="399" customWidth="1"/>
    <col min="10773" max="10773" width="9.140625" style="399"/>
    <col min="10774" max="10774" width="13.7109375" style="399" customWidth="1"/>
    <col min="10775" max="10775" width="1.5703125" style="399" customWidth="1"/>
    <col min="10776" max="11008" width="9.140625" style="399"/>
    <col min="11009" max="11009" width="12.28515625" style="399" customWidth="1"/>
    <col min="11010" max="11010" width="52.140625" style="399" customWidth="1"/>
    <col min="11011" max="11011" width="17" style="399" customWidth="1"/>
    <col min="11012" max="11012" width="13.5703125" style="399" customWidth="1"/>
    <col min="11013" max="11013" width="13.7109375" style="399" customWidth="1"/>
    <col min="11014" max="11014" width="12.42578125" style="399" customWidth="1"/>
    <col min="11015" max="11015" width="8.28515625" style="399" customWidth="1"/>
    <col min="11016" max="11016" width="8" style="399" customWidth="1"/>
    <col min="11017" max="11017" width="5.5703125" style="399" customWidth="1"/>
    <col min="11018" max="11018" width="12.7109375" style="399" customWidth="1"/>
    <col min="11019" max="11020" width="0" style="399" hidden="1" customWidth="1"/>
    <col min="11021" max="11021" width="9.42578125" style="399" customWidth="1"/>
    <col min="11022" max="11022" width="8.28515625" style="399" customWidth="1"/>
    <col min="11023" max="11023" width="18" style="399" customWidth="1"/>
    <col min="11024" max="11024" width="8" style="399" customWidth="1"/>
    <col min="11025" max="11026" width="14.85546875" style="399" customWidth="1"/>
    <col min="11027" max="11027" width="8" style="399" customWidth="1"/>
    <col min="11028" max="11028" width="21.28515625" style="399" customWidth="1"/>
    <col min="11029" max="11029" width="9.140625" style="399"/>
    <col min="11030" max="11030" width="13.7109375" style="399" customWidth="1"/>
    <col min="11031" max="11031" width="1.5703125" style="399" customWidth="1"/>
    <col min="11032" max="11264" width="9.140625" style="399"/>
    <col min="11265" max="11265" width="12.28515625" style="399" customWidth="1"/>
    <col min="11266" max="11266" width="52.140625" style="399" customWidth="1"/>
    <col min="11267" max="11267" width="17" style="399" customWidth="1"/>
    <col min="11268" max="11268" width="13.5703125" style="399" customWidth="1"/>
    <col min="11269" max="11269" width="13.7109375" style="399" customWidth="1"/>
    <col min="11270" max="11270" width="12.42578125" style="399" customWidth="1"/>
    <col min="11271" max="11271" width="8.28515625" style="399" customWidth="1"/>
    <col min="11272" max="11272" width="8" style="399" customWidth="1"/>
    <col min="11273" max="11273" width="5.5703125" style="399" customWidth="1"/>
    <col min="11274" max="11274" width="12.7109375" style="399" customWidth="1"/>
    <col min="11275" max="11276" width="0" style="399" hidden="1" customWidth="1"/>
    <col min="11277" max="11277" width="9.42578125" style="399" customWidth="1"/>
    <col min="11278" max="11278" width="8.28515625" style="399" customWidth="1"/>
    <col min="11279" max="11279" width="18" style="399" customWidth="1"/>
    <col min="11280" max="11280" width="8" style="399" customWidth="1"/>
    <col min="11281" max="11282" width="14.85546875" style="399" customWidth="1"/>
    <col min="11283" max="11283" width="8" style="399" customWidth="1"/>
    <col min="11284" max="11284" width="21.28515625" style="399" customWidth="1"/>
    <col min="11285" max="11285" width="9.140625" style="399"/>
    <col min="11286" max="11286" width="13.7109375" style="399" customWidth="1"/>
    <col min="11287" max="11287" width="1.5703125" style="399" customWidth="1"/>
    <col min="11288" max="11520" width="9.140625" style="399"/>
    <col min="11521" max="11521" width="12.28515625" style="399" customWidth="1"/>
    <col min="11522" max="11522" width="52.140625" style="399" customWidth="1"/>
    <col min="11523" max="11523" width="17" style="399" customWidth="1"/>
    <col min="11524" max="11524" width="13.5703125" style="399" customWidth="1"/>
    <col min="11525" max="11525" width="13.7109375" style="399" customWidth="1"/>
    <col min="11526" max="11526" width="12.42578125" style="399" customWidth="1"/>
    <col min="11527" max="11527" width="8.28515625" style="399" customWidth="1"/>
    <col min="11528" max="11528" width="8" style="399" customWidth="1"/>
    <col min="11529" max="11529" width="5.5703125" style="399" customWidth="1"/>
    <col min="11530" max="11530" width="12.7109375" style="399" customWidth="1"/>
    <col min="11531" max="11532" width="0" style="399" hidden="1" customWidth="1"/>
    <col min="11533" max="11533" width="9.42578125" style="399" customWidth="1"/>
    <col min="11534" max="11534" width="8.28515625" style="399" customWidth="1"/>
    <col min="11535" max="11535" width="18" style="399" customWidth="1"/>
    <col min="11536" max="11536" width="8" style="399" customWidth="1"/>
    <col min="11537" max="11538" width="14.85546875" style="399" customWidth="1"/>
    <col min="11539" max="11539" width="8" style="399" customWidth="1"/>
    <col min="11540" max="11540" width="21.28515625" style="399" customWidth="1"/>
    <col min="11541" max="11541" width="9.140625" style="399"/>
    <col min="11542" max="11542" width="13.7109375" style="399" customWidth="1"/>
    <col min="11543" max="11543" width="1.5703125" style="399" customWidth="1"/>
    <col min="11544" max="11776" width="9.140625" style="399"/>
    <col min="11777" max="11777" width="12.28515625" style="399" customWidth="1"/>
    <col min="11778" max="11778" width="52.140625" style="399" customWidth="1"/>
    <col min="11779" max="11779" width="17" style="399" customWidth="1"/>
    <col min="11780" max="11780" width="13.5703125" style="399" customWidth="1"/>
    <col min="11781" max="11781" width="13.7109375" style="399" customWidth="1"/>
    <col min="11782" max="11782" width="12.42578125" style="399" customWidth="1"/>
    <col min="11783" max="11783" width="8.28515625" style="399" customWidth="1"/>
    <col min="11784" max="11784" width="8" style="399" customWidth="1"/>
    <col min="11785" max="11785" width="5.5703125" style="399" customWidth="1"/>
    <col min="11786" max="11786" width="12.7109375" style="399" customWidth="1"/>
    <col min="11787" max="11788" width="0" style="399" hidden="1" customWidth="1"/>
    <col min="11789" max="11789" width="9.42578125" style="399" customWidth="1"/>
    <col min="11790" max="11790" width="8.28515625" style="399" customWidth="1"/>
    <col min="11791" max="11791" width="18" style="399" customWidth="1"/>
    <col min="11792" max="11792" width="8" style="399" customWidth="1"/>
    <col min="11793" max="11794" width="14.85546875" style="399" customWidth="1"/>
    <col min="11795" max="11795" width="8" style="399" customWidth="1"/>
    <col min="11796" max="11796" width="21.28515625" style="399" customWidth="1"/>
    <col min="11797" max="11797" width="9.140625" style="399"/>
    <col min="11798" max="11798" width="13.7109375" style="399" customWidth="1"/>
    <col min="11799" max="11799" width="1.5703125" style="399" customWidth="1"/>
    <col min="11800" max="12032" width="9.140625" style="399"/>
    <col min="12033" max="12033" width="12.28515625" style="399" customWidth="1"/>
    <col min="12034" max="12034" width="52.140625" style="399" customWidth="1"/>
    <col min="12035" max="12035" width="17" style="399" customWidth="1"/>
    <col min="12036" max="12036" width="13.5703125" style="399" customWidth="1"/>
    <col min="12037" max="12037" width="13.7109375" style="399" customWidth="1"/>
    <col min="12038" max="12038" width="12.42578125" style="399" customWidth="1"/>
    <col min="12039" max="12039" width="8.28515625" style="399" customWidth="1"/>
    <col min="12040" max="12040" width="8" style="399" customWidth="1"/>
    <col min="12041" max="12041" width="5.5703125" style="399" customWidth="1"/>
    <col min="12042" max="12042" width="12.7109375" style="399" customWidth="1"/>
    <col min="12043" max="12044" width="0" style="399" hidden="1" customWidth="1"/>
    <col min="12045" max="12045" width="9.42578125" style="399" customWidth="1"/>
    <col min="12046" max="12046" width="8.28515625" style="399" customWidth="1"/>
    <col min="12047" max="12047" width="18" style="399" customWidth="1"/>
    <col min="12048" max="12048" width="8" style="399" customWidth="1"/>
    <col min="12049" max="12050" width="14.85546875" style="399" customWidth="1"/>
    <col min="12051" max="12051" width="8" style="399" customWidth="1"/>
    <col min="12052" max="12052" width="21.28515625" style="399" customWidth="1"/>
    <col min="12053" max="12053" width="9.140625" style="399"/>
    <col min="12054" max="12054" width="13.7109375" style="399" customWidth="1"/>
    <col min="12055" max="12055" width="1.5703125" style="399" customWidth="1"/>
    <col min="12056" max="12288" width="9.140625" style="399"/>
    <col min="12289" max="12289" width="12.28515625" style="399" customWidth="1"/>
    <col min="12290" max="12290" width="52.140625" style="399" customWidth="1"/>
    <col min="12291" max="12291" width="17" style="399" customWidth="1"/>
    <col min="12292" max="12292" width="13.5703125" style="399" customWidth="1"/>
    <col min="12293" max="12293" width="13.7109375" style="399" customWidth="1"/>
    <col min="12294" max="12294" width="12.42578125" style="399" customWidth="1"/>
    <col min="12295" max="12295" width="8.28515625" style="399" customWidth="1"/>
    <col min="12296" max="12296" width="8" style="399" customWidth="1"/>
    <col min="12297" max="12297" width="5.5703125" style="399" customWidth="1"/>
    <col min="12298" max="12298" width="12.7109375" style="399" customWidth="1"/>
    <col min="12299" max="12300" width="0" style="399" hidden="1" customWidth="1"/>
    <col min="12301" max="12301" width="9.42578125" style="399" customWidth="1"/>
    <col min="12302" max="12302" width="8.28515625" style="399" customWidth="1"/>
    <col min="12303" max="12303" width="18" style="399" customWidth="1"/>
    <col min="12304" max="12304" width="8" style="399" customWidth="1"/>
    <col min="12305" max="12306" width="14.85546875" style="399" customWidth="1"/>
    <col min="12307" max="12307" width="8" style="399" customWidth="1"/>
    <col min="12308" max="12308" width="21.28515625" style="399" customWidth="1"/>
    <col min="12309" max="12309" width="9.140625" style="399"/>
    <col min="12310" max="12310" width="13.7109375" style="399" customWidth="1"/>
    <col min="12311" max="12311" width="1.5703125" style="399" customWidth="1"/>
    <col min="12312" max="12544" width="9.140625" style="399"/>
    <col min="12545" max="12545" width="12.28515625" style="399" customWidth="1"/>
    <col min="12546" max="12546" width="52.140625" style="399" customWidth="1"/>
    <col min="12547" max="12547" width="17" style="399" customWidth="1"/>
    <col min="12548" max="12548" width="13.5703125" style="399" customWidth="1"/>
    <col min="12549" max="12549" width="13.7109375" style="399" customWidth="1"/>
    <col min="12550" max="12550" width="12.42578125" style="399" customWidth="1"/>
    <col min="12551" max="12551" width="8.28515625" style="399" customWidth="1"/>
    <col min="12552" max="12552" width="8" style="399" customWidth="1"/>
    <col min="12553" max="12553" width="5.5703125" style="399" customWidth="1"/>
    <col min="12554" max="12554" width="12.7109375" style="399" customWidth="1"/>
    <col min="12555" max="12556" width="0" style="399" hidden="1" customWidth="1"/>
    <col min="12557" max="12557" width="9.42578125" style="399" customWidth="1"/>
    <col min="12558" max="12558" width="8.28515625" style="399" customWidth="1"/>
    <col min="12559" max="12559" width="18" style="399" customWidth="1"/>
    <col min="12560" max="12560" width="8" style="399" customWidth="1"/>
    <col min="12561" max="12562" width="14.85546875" style="399" customWidth="1"/>
    <col min="12563" max="12563" width="8" style="399" customWidth="1"/>
    <col min="12564" max="12564" width="21.28515625" style="399" customWidth="1"/>
    <col min="12565" max="12565" width="9.140625" style="399"/>
    <col min="12566" max="12566" width="13.7109375" style="399" customWidth="1"/>
    <col min="12567" max="12567" width="1.5703125" style="399" customWidth="1"/>
    <col min="12568" max="12800" width="9.140625" style="399"/>
    <col min="12801" max="12801" width="12.28515625" style="399" customWidth="1"/>
    <col min="12802" max="12802" width="52.140625" style="399" customWidth="1"/>
    <col min="12803" max="12803" width="17" style="399" customWidth="1"/>
    <col min="12804" max="12804" width="13.5703125" style="399" customWidth="1"/>
    <col min="12805" max="12805" width="13.7109375" style="399" customWidth="1"/>
    <col min="12806" max="12806" width="12.42578125" style="399" customWidth="1"/>
    <col min="12807" max="12807" width="8.28515625" style="399" customWidth="1"/>
    <col min="12808" max="12808" width="8" style="399" customWidth="1"/>
    <col min="12809" max="12809" width="5.5703125" style="399" customWidth="1"/>
    <col min="12810" max="12810" width="12.7109375" style="399" customWidth="1"/>
    <col min="12811" max="12812" width="0" style="399" hidden="1" customWidth="1"/>
    <col min="12813" max="12813" width="9.42578125" style="399" customWidth="1"/>
    <col min="12814" max="12814" width="8.28515625" style="399" customWidth="1"/>
    <col min="12815" max="12815" width="18" style="399" customWidth="1"/>
    <col min="12816" max="12816" width="8" style="399" customWidth="1"/>
    <col min="12817" max="12818" width="14.85546875" style="399" customWidth="1"/>
    <col min="12819" max="12819" width="8" style="399" customWidth="1"/>
    <col min="12820" max="12820" width="21.28515625" style="399" customWidth="1"/>
    <col min="12821" max="12821" width="9.140625" style="399"/>
    <col min="12822" max="12822" width="13.7109375" style="399" customWidth="1"/>
    <col min="12823" max="12823" width="1.5703125" style="399" customWidth="1"/>
    <col min="12824" max="13056" width="9.140625" style="399"/>
    <col min="13057" max="13057" width="12.28515625" style="399" customWidth="1"/>
    <col min="13058" max="13058" width="52.140625" style="399" customWidth="1"/>
    <col min="13059" max="13059" width="17" style="399" customWidth="1"/>
    <col min="13060" max="13060" width="13.5703125" style="399" customWidth="1"/>
    <col min="13061" max="13061" width="13.7109375" style="399" customWidth="1"/>
    <col min="13062" max="13062" width="12.42578125" style="399" customWidth="1"/>
    <col min="13063" max="13063" width="8.28515625" style="399" customWidth="1"/>
    <col min="13064" max="13064" width="8" style="399" customWidth="1"/>
    <col min="13065" max="13065" width="5.5703125" style="399" customWidth="1"/>
    <col min="13066" max="13066" width="12.7109375" style="399" customWidth="1"/>
    <col min="13067" max="13068" width="0" style="399" hidden="1" customWidth="1"/>
    <col min="13069" max="13069" width="9.42578125" style="399" customWidth="1"/>
    <col min="13070" max="13070" width="8.28515625" style="399" customWidth="1"/>
    <col min="13071" max="13071" width="18" style="399" customWidth="1"/>
    <col min="13072" max="13072" width="8" style="399" customWidth="1"/>
    <col min="13073" max="13074" width="14.85546875" style="399" customWidth="1"/>
    <col min="13075" max="13075" width="8" style="399" customWidth="1"/>
    <col min="13076" max="13076" width="21.28515625" style="399" customWidth="1"/>
    <col min="13077" max="13077" width="9.140625" style="399"/>
    <col min="13078" max="13078" width="13.7109375" style="399" customWidth="1"/>
    <col min="13079" max="13079" width="1.5703125" style="399" customWidth="1"/>
    <col min="13080" max="13312" width="9.140625" style="399"/>
    <col min="13313" max="13313" width="12.28515625" style="399" customWidth="1"/>
    <col min="13314" max="13314" width="52.140625" style="399" customWidth="1"/>
    <col min="13315" max="13315" width="17" style="399" customWidth="1"/>
    <col min="13316" max="13316" width="13.5703125" style="399" customWidth="1"/>
    <col min="13317" max="13317" width="13.7109375" style="399" customWidth="1"/>
    <col min="13318" max="13318" width="12.42578125" style="399" customWidth="1"/>
    <col min="13319" max="13319" width="8.28515625" style="399" customWidth="1"/>
    <col min="13320" max="13320" width="8" style="399" customWidth="1"/>
    <col min="13321" max="13321" width="5.5703125" style="399" customWidth="1"/>
    <col min="13322" max="13322" width="12.7109375" style="399" customWidth="1"/>
    <col min="13323" max="13324" width="0" style="399" hidden="1" customWidth="1"/>
    <col min="13325" max="13325" width="9.42578125" style="399" customWidth="1"/>
    <col min="13326" max="13326" width="8.28515625" style="399" customWidth="1"/>
    <col min="13327" max="13327" width="18" style="399" customWidth="1"/>
    <col min="13328" max="13328" width="8" style="399" customWidth="1"/>
    <col min="13329" max="13330" width="14.85546875" style="399" customWidth="1"/>
    <col min="13331" max="13331" width="8" style="399" customWidth="1"/>
    <col min="13332" max="13332" width="21.28515625" style="399" customWidth="1"/>
    <col min="13333" max="13333" width="9.140625" style="399"/>
    <col min="13334" max="13334" width="13.7109375" style="399" customWidth="1"/>
    <col min="13335" max="13335" width="1.5703125" style="399" customWidth="1"/>
    <col min="13336" max="13568" width="9.140625" style="399"/>
    <col min="13569" max="13569" width="12.28515625" style="399" customWidth="1"/>
    <col min="13570" max="13570" width="52.140625" style="399" customWidth="1"/>
    <col min="13571" max="13571" width="17" style="399" customWidth="1"/>
    <col min="13572" max="13572" width="13.5703125" style="399" customWidth="1"/>
    <col min="13573" max="13573" width="13.7109375" style="399" customWidth="1"/>
    <col min="13574" max="13574" width="12.42578125" style="399" customWidth="1"/>
    <col min="13575" max="13575" width="8.28515625" style="399" customWidth="1"/>
    <col min="13576" max="13576" width="8" style="399" customWidth="1"/>
    <col min="13577" max="13577" width="5.5703125" style="399" customWidth="1"/>
    <col min="13578" max="13578" width="12.7109375" style="399" customWidth="1"/>
    <col min="13579" max="13580" width="0" style="399" hidden="1" customWidth="1"/>
    <col min="13581" max="13581" width="9.42578125" style="399" customWidth="1"/>
    <col min="13582" max="13582" width="8.28515625" style="399" customWidth="1"/>
    <col min="13583" max="13583" width="18" style="399" customWidth="1"/>
    <col min="13584" max="13584" width="8" style="399" customWidth="1"/>
    <col min="13585" max="13586" width="14.85546875" style="399" customWidth="1"/>
    <col min="13587" max="13587" width="8" style="399" customWidth="1"/>
    <col min="13588" max="13588" width="21.28515625" style="399" customWidth="1"/>
    <col min="13589" max="13589" width="9.140625" style="399"/>
    <col min="13590" max="13590" width="13.7109375" style="399" customWidth="1"/>
    <col min="13591" max="13591" width="1.5703125" style="399" customWidth="1"/>
    <col min="13592" max="13824" width="9.140625" style="399"/>
    <col min="13825" max="13825" width="12.28515625" style="399" customWidth="1"/>
    <col min="13826" max="13826" width="52.140625" style="399" customWidth="1"/>
    <col min="13827" max="13827" width="17" style="399" customWidth="1"/>
    <col min="13828" max="13828" width="13.5703125" style="399" customWidth="1"/>
    <col min="13829" max="13829" width="13.7109375" style="399" customWidth="1"/>
    <col min="13830" max="13830" width="12.42578125" style="399" customWidth="1"/>
    <col min="13831" max="13831" width="8.28515625" style="399" customWidth="1"/>
    <col min="13832" max="13832" width="8" style="399" customWidth="1"/>
    <col min="13833" max="13833" width="5.5703125" style="399" customWidth="1"/>
    <col min="13834" max="13834" width="12.7109375" style="399" customWidth="1"/>
    <col min="13835" max="13836" width="0" style="399" hidden="1" customWidth="1"/>
    <col min="13837" max="13837" width="9.42578125" style="399" customWidth="1"/>
    <col min="13838" max="13838" width="8.28515625" style="399" customWidth="1"/>
    <col min="13839" max="13839" width="18" style="399" customWidth="1"/>
    <col min="13840" max="13840" width="8" style="399" customWidth="1"/>
    <col min="13841" max="13842" width="14.85546875" style="399" customWidth="1"/>
    <col min="13843" max="13843" width="8" style="399" customWidth="1"/>
    <col min="13844" max="13844" width="21.28515625" style="399" customWidth="1"/>
    <col min="13845" max="13845" width="9.140625" style="399"/>
    <col min="13846" max="13846" width="13.7109375" style="399" customWidth="1"/>
    <col min="13847" max="13847" width="1.5703125" style="399" customWidth="1"/>
    <col min="13848" max="14080" width="9.140625" style="399"/>
    <col min="14081" max="14081" width="12.28515625" style="399" customWidth="1"/>
    <col min="14082" max="14082" width="52.140625" style="399" customWidth="1"/>
    <col min="14083" max="14083" width="17" style="399" customWidth="1"/>
    <col min="14084" max="14084" width="13.5703125" style="399" customWidth="1"/>
    <col min="14085" max="14085" width="13.7109375" style="399" customWidth="1"/>
    <col min="14086" max="14086" width="12.42578125" style="399" customWidth="1"/>
    <col min="14087" max="14087" width="8.28515625" style="399" customWidth="1"/>
    <col min="14088" max="14088" width="8" style="399" customWidth="1"/>
    <col min="14089" max="14089" width="5.5703125" style="399" customWidth="1"/>
    <col min="14090" max="14090" width="12.7109375" style="399" customWidth="1"/>
    <col min="14091" max="14092" width="0" style="399" hidden="1" customWidth="1"/>
    <col min="14093" max="14093" width="9.42578125" style="399" customWidth="1"/>
    <col min="14094" max="14094" width="8.28515625" style="399" customWidth="1"/>
    <col min="14095" max="14095" width="18" style="399" customWidth="1"/>
    <col min="14096" max="14096" width="8" style="399" customWidth="1"/>
    <col min="14097" max="14098" width="14.85546875" style="399" customWidth="1"/>
    <col min="14099" max="14099" width="8" style="399" customWidth="1"/>
    <col min="14100" max="14100" width="21.28515625" style="399" customWidth="1"/>
    <col min="14101" max="14101" width="9.140625" style="399"/>
    <col min="14102" max="14102" width="13.7109375" style="399" customWidth="1"/>
    <col min="14103" max="14103" width="1.5703125" style="399" customWidth="1"/>
    <col min="14104" max="14336" width="9.140625" style="399"/>
    <col min="14337" max="14337" width="12.28515625" style="399" customWidth="1"/>
    <col min="14338" max="14338" width="52.140625" style="399" customWidth="1"/>
    <col min="14339" max="14339" width="17" style="399" customWidth="1"/>
    <col min="14340" max="14340" width="13.5703125" style="399" customWidth="1"/>
    <col min="14341" max="14341" width="13.7109375" style="399" customWidth="1"/>
    <col min="14342" max="14342" width="12.42578125" style="399" customWidth="1"/>
    <col min="14343" max="14343" width="8.28515625" style="399" customWidth="1"/>
    <col min="14344" max="14344" width="8" style="399" customWidth="1"/>
    <col min="14345" max="14345" width="5.5703125" style="399" customWidth="1"/>
    <col min="14346" max="14346" width="12.7109375" style="399" customWidth="1"/>
    <col min="14347" max="14348" width="0" style="399" hidden="1" customWidth="1"/>
    <col min="14349" max="14349" width="9.42578125" style="399" customWidth="1"/>
    <col min="14350" max="14350" width="8.28515625" style="399" customWidth="1"/>
    <col min="14351" max="14351" width="18" style="399" customWidth="1"/>
    <col min="14352" max="14352" width="8" style="399" customWidth="1"/>
    <col min="14353" max="14354" width="14.85546875" style="399" customWidth="1"/>
    <col min="14355" max="14355" width="8" style="399" customWidth="1"/>
    <col min="14356" max="14356" width="21.28515625" style="399" customWidth="1"/>
    <col min="14357" max="14357" width="9.140625" style="399"/>
    <col min="14358" max="14358" width="13.7109375" style="399" customWidth="1"/>
    <col min="14359" max="14359" width="1.5703125" style="399" customWidth="1"/>
    <col min="14360" max="14592" width="9.140625" style="399"/>
    <col min="14593" max="14593" width="12.28515625" style="399" customWidth="1"/>
    <col min="14594" max="14594" width="52.140625" style="399" customWidth="1"/>
    <col min="14595" max="14595" width="17" style="399" customWidth="1"/>
    <col min="14596" max="14596" width="13.5703125" style="399" customWidth="1"/>
    <col min="14597" max="14597" width="13.7109375" style="399" customWidth="1"/>
    <col min="14598" max="14598" width="12.42578125" style="399" customWidth="1"/>
    <col min="14599" max="14599" width="8.28515625" style="399" customWidth="1"/>
    <col min="14600" max="14600" width="8" style="399" customWidth="1"/>
    <col min="14601" max="14601" width="5.5703125" style="399" customWidth="1"/>
    <col min="14602" max="14602" width="12.7109375" style="399" customWidth="1"/>
    <col min="14603" max="14604" width="0" style="399" hidden="1" customWidth="1"/>
    <col min="14605" max="14605" width="9.42578125" style="399" customWidth="1"/>
    <col min="14606" max="14606" width="8.28515625" style="399" customWidth="1"/>
    <col min="14607" max="14607" width="18" style="399" customWidth="1"/>
    <col min="14608" max="14608" width="8" style="399" customWidth="1"/>
    <col min="14609" max="14610" width="14.85546875" style="399" customWidth="1"/>
    <col min="14611" max="14611" width="8" style="399" customWidth="1"/>
    <col min="14612" max="14612" width="21.28515625" style="399" customWidth="1"/>
    <col min="14613" max="14613" width="9.140625" style="399"/>
    <col min="14614" max="14614" width="13.7109375" style="399" customWidth="1"/>
    <col min="14615" max="14615" width="1.5703125" style="399" customWidth="1"/>
    <col min="14616" max="14848" width="9.140625" style="399"/>
    <col min="14849" max="14849" width="12.28515625" style="399" customWidth="1"/>
    <col min="14850" max="14850" width="52.140625" style="399" customWidth="1"/>
    <col min="14851" max="14851" width="17" style="399" customWidth="1"/>
    <col min="14852" max="14852" width="13.5703125" style="399" customWidth="1"/>
    <col min="14853" max="14853" width="13.7109375" style="399" customWidth="1"/>
    <col min="14854" max="14854" width="12.42578125" style="399" customWidth="1"/>
    <col min="14855" max="14855" width="8.28515625" style="399" customWidth="1"/>
    <col min="14856" max="14856" width="8" style="399" customWidth="1"/>
    <col min="14857" max="14857" width="5.5703125" style="399" customWidth="1"/>
    <col min="14858" max="14858" width="12.7109375" style="399" customWidth="1"/>
    <col min="14859" max="14860" width="0" style="399" hidden="1" customWidth="1"/>
    <col min="14861" max="14861" width="9.42578125" style="399" customWidth="1"/>
    <col min="14862" max="14862" width="8.28515625" style="399" customWidth="1"/>
    <col min="14863" max="14863" width="18" style="399" customWidth="1"/>
    <col min="14864" max="14864" width="8" style="399" customWidth="1"/>
    <col min="14865" max="14866" width="14.85546875" style="399" customWidth="1"/>
    <col min="14867" max="14867" width="8" style="399" customWidth="1"/>
    <col min="14868" max="14868" width="21.28515625" style="399" customWidth="1"/>
    <col min="14869" max="14869" width="9.140625" style="399"/>
    <col min="14870" max="14870" width="13.7109375" style="399" customWidth="1"/>
    <col min="14871" max="14871" width="1.5703125" style="399" customWidth="1"/>
    <col min="14872" max="15104" width="9.140625" style="399"/>
    <col min="15105" max="15105" width="12.28515625" style="399" customWidth="1"/>
    <col min="15106" max="15106" width="52.140625" style="399" customWidth="1"/>
    <col min="15107" max="15107" width="17" style="399" customWidth="1"/>
    <col min="15108" max="15108" width="13.5703125" style="399" customWidth="1"/>
    <col min="15109" max="15109" width="13.7109375" style="399" customWidth="1"/>
    <col min="15110" max="15110" width="12.42578125" style="399" customWidth="1"/>
    <col min="15111" max="15111" width="8.28515625" style="399" customWidth="1"/>
    <col min="15112" max="15112" width="8" style="399" customWidth="1"/>
    <col min="15113" max="15113" width="5.5703125" style="399" customWidth="1"/>
    <col min="15114" max="15114" width="12.7109375" style="399" customWidth="1"/>
    <col min="15115" max="15116" width="0" style="399" hidden="1" customWidth="1"/>
    <col min="15117" max="15117" width="9.42578125" style="399" customWidth="1"/>
    <col min="15118" max="15118" width="8.28515625" style="399" customWidth="1"/>
    <col min="15119" max="15119" width="18" style="399" customWidth="1"/>
    <col min="15120" max="15120" width="8" style="399" customWidth="1"/>
    <col min="15121" max="15122" width="14.85546875" style="399" customWidth="1"/>
    <col min="15123" max="15123" width="8" style="399" customWidth="1"/>
    <col min="15124" max="15124" width="21.28515625" style="399" customWidth="1"/>
    <col min="15125" max="15125" width="9.140625" style="399"/>
    <col min="15126" max="15126" width="13.7109375" style="399" customWidth="1"/>
    <col min="15127" max="15127" width="1.5703125" style="399" customWidth="1"/>
    <col min="15128" max="15360" width="9.140625" style="399"/>
    <col min="15361" max="15361" width="12.28515625" style="399" customWidth="1"/>
    <col min="15362" max="15362" width="52.140625" style="399" customWidth="1"/>
    <col min="15363" max="15363" width="17" style="399" customWidth="1"/>
    <col min="15364" max="15364" width="13.5703125" style="399" customWidth="1"/>
    <col min="15365" max="15365" width="13.7109375" style="399" customWidth="1"/>
    <col min="15366" max="15366" width="12.42578125" style="399" customWidth="1"/>
    <col min="15367" max="15367" width="8.28515625" style="399" customWidth="1"/>
    <col min="15368" max="15368" width="8" style="399" customWidth="1"/>
    <col min="15369" max="15369" width="5.5703125" style="399" customWidth="1"/>
    <col min="15370" max="15370" width="12.7109375" style="399" customWidth="1"/>
    <col min="15371" max="15372" width="0" style="399" hidden="1" customWidth="1"/>
    <col min="15373" max="15373" width="9.42578125" style="399" customWidth="1"/>
    <col min="15374" max="15374" width="8.28515625" style="399" customWidth="1"/>
    <col min="15375" max="15375" width="18" style="399" customWidth="1"/>
    <col min="15376" max="15376" width="8" style="399" customWidth="1"/>
    <col min="15377" max="15378" width="14.85546875" style="399" customWidth="1"/>
    <col min="15379" max="15379" width="8" style="399" customWidth="1"/>
    <col min="15380" max="15380" width="21.28515625" style="399" customWidth="1"/>
    <col min="15381" max="15381" width="9.140625" style="399"/>
    <col min="15382" max="15382" width="13.7109375" style="399" customWidth="1"/>
    <col min="15383" max="15383" width="1.5703125" style="399" customWidth="1"/>
    <col min="15384" max="15616" width="9.140625" style="399"/>
    <col min="15617" max="15617" width="12.28515625" style="399" customWidth="1"/>
    <col min="15618" max="15618" width="52.140625" style="399" customWidth="1"/>
    <col min="15619" max="15619" width="17" style="399" customWidth="1"/>
    <col min="15620" max="15620" width="13.5703125" style="399" customWidth="1"/>
    <col min="15621" max="15621" width="13.7109375" style="399" customWidth="1"/>
    <col min="15622" max="15622" width="12.42578125" style="399" customWidth="1"/>
    <col min="15623" max="15623" width="8.28515625" style="399" customWidth="1"/>
    <col min="15624" max="15624" width="8" style="399" customWidth="1"/>
    <col min="15625" max="15625" width="5.5703125" style="399" customWidth="1"/>
    <col min="15626" max="15626" width="12.7109375" style="399" customWidth="1"/>
    <col min="15627" max="15628" width="0" style="399" hidden="1" customWidth="1"/>
    <col min="15629" max="15629" width="9.42578125" style="399" customWidth="1"/>
    <col min="15630" max="15630" width="8.28515625" style="399" customWidth="1"/>
    <col min="15631" max="15631" width="18" style="399" customWidth="1"/>
    <col min="15632" max="15632" width="8" style="399" customWidth="1"/>
    <col min="15633" max="15634" width="14.85546875" style="399" customWidth="1"/>
    <col min="15635" max="15635" width="8" style="399" customWidth="1"/>
    <col min="15636" max="15636" width="21.28515625" style="399" customWidth="1"/>
    <col min="15637" max="15637" width="9.140625" style="399"/>
    <col min="15638" max="15638" width="13.7109375" style="399" customWidth="1"/>
    <col min="15639" max="15639" width="1.5703125" style="399" customWidth="1"/>
    <col min="15640" max="15872" width="9.140625" style="399"/>
    <col min="15873" max="15873" width="12.28515625" style="399" customWidth="1"/>
    <col min="15874" max="15874" width="52.140625" style="399" customWidth="1"/>
    <col min="15875" max="15875" width="17" style="399" customWidth="1"/>
    <col min="15876" max="15876" width="13.5703125" style="399" customWidth="1"/>
    <col min="15877" max="15877" width="13.7109375" style="399" customWidth="1"/>
    <col min="15878" max="15878" width="12.42578125" style="399" customWidth="1"/>
    <col min="15879" max="15879" width="8.28515625" style="399" customWidth="1"/>
    <col min="15880" max="15880" width="8" style="399" customWidth="1"/>
    <col min="15881" max="15881" width="5.5703125" style="399" customWidth="1"/>
    <col min="15882" max="15882" width="12.7109375" style="399" customWidth="1"/>
    <col min="15883" max="15884" width="0" style="399" hidden="1" customWidth="1"/>
    <col min="15885" max="15885" width="9.42578125" style="399" customWidth="1"/>
    <col min="15886" max="15886" width="8.28515625" style="399" customWidth="1"/>
    <col min="15887" max="15887" width="18" style="399" customWidth="1"/>
    <col min="15888" max="15888" width="8" style="399" customWidth="1"/>
    <col min="15889" max="15890" width="14.85546875" style="399" customWidth="1"/>
    <col min="15891" max="15891" width="8" style="399" customWidth="1"/>
    <col min="15892" max="15892" width="21.28515625" style="399" customWidth="1"/>
    <col min="15893" max="15893" width="9.140625" style="399"/>
    <col min="15894" max="15894" width="13.7109375" style="399" customWidth="1"/>
    <col min="15895" max="15895" width="1.5703125" style="399" customWidth="1"/>
    <col min="15896" max="16128" width="9.140625" style="399"/>
    <col min="16129" max="16129" width="12.28515625" style="399" customWidth="1"/>
    <col min="16130" max="16130" width="52.140625" style="399" customWidth="1"/>
    <col min="16131" max="16131" width="17" style="399" customWidth="1"/>
    <col min="16132" max="16132" width="13.5703125" style="399" customWidth="1"/>
    <col min="16133" max="16133" width="13.7109375" style="399" customWidth="1"/>
    <col min="16134" max="16134" width="12.42578125" style="399" customWidth="1"/>
    <col min="16135" max="16135" width="8.28515625" style="399" customWidth="1"/>
    <col min="16136" max="16136" width="8" style="399" customWidth="1"/>
    <col min="16137" max="16137" width="5.5703125" style="399" customWidth="1"/>
    <col min="16138" max="16138" width="12.7109375" style="399" customWidth="1"/>
    <col min="16139" max="16140" width="0" style="399" hidden="1" customWidth="1"/>
    <col min="16141" max="16141" width="9.42578125" style="399" customWidth="1"/>
    <col min="16142" max="16142" width="8.28515625" style="399" customWidth="1"/>
    <col min="16143" max="16143" width="18" style="399" customWidth="1"/>
    <col min="16144" max="16144" width="8" style="399" customWidth="1"/>
    <col min="16145" max="16146" width="14.85546875" style="399" customWidth="1"/>
    <col min="16147" max="16147" width="8" style="399" customWidth="1"/>
    <col min="16148" max="16148" width="21.28515625" style="399" customWidth="1"/>
    <col min="16149" max="16149" width="9.140625" style="399"/>
    <col min="16150" max="16150" width="13.7109375" style="399" customWidth="1"/>
    <col min="16151" max="16151" width="1.5703125" style="399" customWidth="1"/>
    <col min="16152" max="16384" width="9.140625" style="399"/>
  </cols>
  <sheetData>
    <row r="1" spans="1:26" ht="20.25">
      <c r="A1" s="398"/>
      <c r="B1" s="398"/>
      <c r="C1" s="1026" t="s">
        <v>676</v>
      </c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</row>
    <row r="2" spans="1:26" ht="22.5">
      <c r="B2" s="401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402"/>
      <c r="Q2" s="402"/>
      <c r="R2" s="402"/>
      <c r="S2" s="402"/>
      <c r="T2" s="402"/>
    </row>
    <row r="3" spans="1:26">
      <c r="A3" s="403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4"/>
      <c r="R3" s="404"/>
      <c r="S3" s="404"/>
      <c r="T3" s="405"/>
    </row>
    <row r="4" spans="1:26">
      <c r="A4" s="403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4"/>
      <c r="R4" s="404"/>
      <c r="S4" s="404"/>
      <c r="T4" s="405"/>
    </row>
    <row r="5" spans="1:26" ht="18">
      <c r="A5" s="406" t="s">
        <v>677</v>
      </c>
      <c r="C5" s="407"/>
      <c r="D5" s="407"/>
      <c r="E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8"/>
    </row>
    <row r="6" spans="1:26">
      <c r="A6" s="409"/>
      <c r="B6" s="409"/>
      <c r="C6" s="410"/>
      <c r="D6" s="410"/>
      <c r="E6" s="410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2"/>
      <c r="R6" s="412"/>
      <c r="S6" s="412"/>
      <c r="T6" s="413"/>
    </row>
    <row r="7" spans="1:26">
      <c r="A7" s="409"/>
      <c r="B7" s="409"/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2"/>
      <c r="R7" s="412"/>
      <c r="S7" s="412"/>
      <c r="T7" s="413"/>
      <c r="Y7" s="414"/>
      <c r="Z7" s="414"/>
    </row>
    <row r="8" spans="1:26" ht="15" customHeight="1">
      <c r="A8" s="415" t="s">
        <v>678</v>
      </c>
      <c r="B8" s="416" t="s">
        <v>679</v>
      </c>
      <c r="C8" s="417"/>
      <c r="D8" s="417"/>
      <c r="E8" s="417"/>
      <c r="F8" s="418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20"/>
      <c r="R8" s="420"/>
      <c r="S8" s="420"/>
      <c r="T8" s="421"/>
      <c r="Y8" s="414"/>
      <c r="Z8" s="414"/>
    </row>
    <row r="9" spans="1:26" ht="15" customHeight="1">
      <c r="A9" s="422" t="s">
        <v>680</v>
      </c>
      <c r="B9" s="416" t="s">
        <v>681</v>
      </c>
      <c r="C9" s="417"/>
      <c r="D9" s="417"/>
      <c r="E9" s="417"/>
      <c r="F9" s="418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20"/>
      <c r="R9" s="420"/>
      <c r="S9" s="420"/>
      <c r="T9" s="421"/>
      <c r="Y9" s="423"/>
      <c r="Z9" s="423"/>
    </row>
    <row r="10" spans="1:26" ht="15" customHeight="1">
      <c r="A10" s="422" t="s">
        <v>682</v>
      </c>
      <c r="B10" s="424" t="s">
        <v>683</v>
      </c>
      <c r="C10" s="417"/>
      <c r="D10" s="417"/>
      <c r="E10" s="417"/>
      <c r="F10" s="418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25"/>
      <c r="R10" s="425"/>
      <c r="S10" s="425"/>
      <c r="T10" s="426"/>
      <c r="Y10" s="423"/>
      <c r="Z10" s="423"/>
    </row>
    <row r="11" spans="1:26" ht="15" customHeight="1">
      <c r="A11" s="422"/>
      <c r="B11" s="422"/>
      <c r="C11" s="427"/>
      <c r="D11" s="427"/>
      <c r="E11" s="427"/>
      <c r="F11" s="428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5"/>
      <c r="R11" s="425"/>
      <c r="S11" s="425"/>
      <c r="T11" s="426"/>
    </row>
    <row r="12" spans="1:26" ht="15" customHeight="1" thickBot="1">
      <c r="A12" s="430"/>
      <c r="B12" s="430"/>
      <c r="C12" s="431"/>
      <c r="D12" s="431"/>
      <c r="E12" s="431"/>
      <c r="F12" s="431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3"/>
      <c r="R12" s="433"/>
      <c r="S12" s="433"/>
      <c r="T12" s="434"/>
      <c r="Y12" s="423"/>
      <c r="Z12" s="423"/>
    </row>
    <row r="13" spans="1:26" s="435" customFormat="1" ht="15" customHeight="1" thickTop="1">
      <c r="A13" s="1027" t="s">
        <v>684</v>
      </c>
      <c r="B13" s="1030" t="s">
        <v>158</v>
      </c>
      <c r="C13" s="1032" t="str">
        <f>CÁLCULO!D10</f>
        <v>Valor do Imóvel (R$)</v>
      </c>
      <c r="D13" s="1032" t="s">
        <v>685</v>
      </c>
      <c r="E13" s="1035" t="s">
        <v>686</v>
      </c>
      <c r="F13" s="1032" t="s">
        <v>687</v>
      </c>
      <c r="G13" s="1038" t="s">
        <v>688</v>
      </c>
      <c r="H13" s="1038" t="s">
        <v>689</v>
      </c>
      <c r="I13" s="1041" t="s">
        <v>314</v>
      </c>
      <c r="J13" s="1042"/>
      <c r="K13" s="1038" t="s">
        <v>690</v>
      </c>
      <c r="L13" s="1038" t="s">
        <v>691</v>
      </c>
      <c r="M13" s="1038" t="s">
        <v>692</v>
      </c>
      <c r="N13" s="1041" t="s">
        <v>693</v>
      </c>
      <c r="O13" s="1062"/>
      <c r="P13" s="1042"/>
      <c r="Q13" s="1038" t="s">
        <v>694</v>
      </c>
      <c r="R13" s="1038" t="s">
        <v>695</v>
      </c>
      <c r="S13" s="1038" t="s">
        <v>696</v>
      </c>
      <c r="T13" s="1049" t="s">
        <v>697</v>
      </c>
      <c r="U13" s="1049" t="s">
        <v>698</v>
      </c>
      <c r="V13" s="1052"/>
      <c r="Y13" s="423"/>
      <c r="Z13" s="423"/>
    </row>
    <row r="14" spans="1:26" s="435" customFormat="1" ht="15" customHeight="1">
      <c r="A14" s="1028"/>
      <c r="B14" s="1031"/>
      <c r="C14" s="1033"/>
      <c r="D14" s="1033"/>
      <c r="E14" s="1036"/>
      <c r="F14" s="1033"/>
      <c r="G14" s="1039"/>
      <c r="H14" s="1039"/>
      <c r="I14" s="1043"/>
      <c r="J14" s="1044"/>
      <c r="K14" s="1039"/>
      <c r="L14" s="1039"/>
      <c r="M14" s="1039"/>
      <c r="N14" s="1057" t="s">
        <v>699</v>
      </c>
      <c r="O14" s="1059" t="s">
        <v>700</v>
      </c>
      <c r="P14" s="1061" t="s">
        <v>701</v>
      </c>
      <c r="Q14" s="1063"/>
      <c r="R14" s="1063"/>
      <c r="S14" s="1047"/>
      <c r="T14" s="1050"/>
      <c r="U14" s="1053"/>
      <c r="V14" s="1054"/>
      <c r="Y14" s="436"/>
      <c r="Z14" s="436"/>
    </row>
    <row r="15" spans="1:26" s="435" customFormat="1" ht="15" customHeight="1" thickBot="1">
      <c r="A15" s="1029"/>
      <c r="B15" s="437" t="s">
        <v>702</v>
      </c>
      <c r="C15" s="1034"/>
      <c r="D15" s="1034"/>
      <c r="E15" s="1037"/>
      <c r="F15" s="1034"/>
      <c r="G15" s="1040"/>
      <c r="H15" s="1040"/>
      <c r="I15" s="1045"/>
      <c r="J15" s="1046"/>
      <c r="K15" s="1040"/>
      <c r="L15" s="1040"/>
      <c r="M15" s="1040"/>
      <c r="N15" s="1058"/>
      <c r="O15" s="1060"/>
      <c r="P15" s="1046"/>
      <c r="Q15" s="1064"/>
      <c r="R15" s="1064"/>
      <c r="S15" s="1048"/>
      <c r="T15" s="1051"/>
      <c r="U15" s="1055"/>
      <c r="V15" s="1056"/>
      <c r="Y15" s="436"/>
      <c r="Z15" s="436"/>
    </row>
    <row r="16" spans="1:26" s="435" customFormat="1" ht="18" customHeight="1" thickTop="1">
      <c r="A16" s="1087">
        <v>1</v>
      </c>
      <c r="B16" s="438" t="s">
        <v>965</v>
      </c>
      <c r="C16" s="1067">
        <v>163000</v>
      </c>
      <c r="D16" s="1069">
        <v>360</v>
      </c>
      <c r="E16" s="1069">
        <v>75</v>
      </c>
      <c r="F16" s="1088">
        <f>C16/E16</f>
        <v>2173.3333333333335</v>
      </c>
      <c r="G16" s="1079">
        <v>10</v>
      </c>
      <c r="H16" s="1079">
        <v>67</v>
      </c>
      <c r="I16" s="1080">
        <v>2</v>
      </c>
      <c r="J16" s="1081" t="str">
        <f>VLOOKUP(I16,'Tabelas Auxiliares 1'!$K$16:$L$24,2)</f>
        <v>Bom</v>
      </c>
      <c r="K16" s="1083">
        <f>ROUND((G16/H16*100/5),1)*5</f>
        <v>15</v>
      </c>
      <c r="L16" s="1083">
        <f>IF(I16=4,VLOOKUP(K16,'Tabelas Auxiliares 1'!A1:I199,8),IF(I16=4.5,VLOOKUP(K16,'Tabelas Auxiliares 1'!A1:I199,9),0))</f>
        <v>0</v>
      </c>
      <c r="M16" s="1085">
        <f>IF(K16&lt;2,1,IF(I16=1,VLOOKUP(K16,'Tabelas Auxiliares 1'!$A$1:$I$199,2),IF(I16=1.5,VLOOKUP(K16,'Tabelas Auxiliares 1'!$A$1:$I$199,3),IF(I16=2,VLOOKUP(K16,'Tabelas Auxiliares 1'!$A$1:$I$199,4),IF(I16=2.5,VLOOKUP(K16,'Tabelas Auxiliares 1'!$A$1:$I$199,5),IF(I16=3,VLOOKUP(K16,'Tabelas Auxiliares 1'!$A$1:$I$199,6),IF(I16=3.5,VLOOKUP(K16,'Tabelas Auxiliares 1'!$A$1:$I$199,7),L16)))))))</f>
        <v>0.89100000000000001</v>
      </c>
      <c r="N16" s="1077" t="s">
        <v>705</v>
      </c>
      <c r="O16" s="1101" t="str">
        <f>VLOOKUP(N16,'Tabelas Auxiliares 1'!$P$3:$R$37,2)</f>
        <v>Casa Médio</v>
      </c>
      <c r="P16" s="1102">
        <f>VLOOKUP(N16,'Tabelas Auxiliares 1'!$P$3:$R$37,3)</f>
        <v>1.3859999999999999</v>
      </c>
      <c r="Q16" s="1104" t="s">
        <v>704</v>
      </c>
      <c r="R16" s="1104" t="s">
        <v>967</v>
      </c>
      <c r="S16" s="1073">
        <v>2</v>
      </c>
      <c r="T16" s="1095">
        <v>1</v>
      </c>
      <c r="U16" s="1097"/>
      <c r="V16" s="1098"/>
      <c r="Y16" s="436"/>
      <c r="Z16" s="436"/>
    </row>
    <row r="17" spans="1:26" s="435" customFormat="1" ht="18" customHeight="1">
      <c r="A17" s="1066"/>
      <c r="B17" s="439" t="s">
        <v>966</v>
      </c>
      <c r="C17" s="1068"/>
      <c r="D17" s="1070"/>
      <c r="E17" s="1070"/>
      <c r="F17" s="1072"/>
      <c r="G17" s="1074"/>
      <c r="H17" s="1074"/>
      <c r="I17" s="1076"/>
      <c r="J17" s="1082"/>
      <c r="K17" s="1084"/>
      <c r="L17" s="1084"/>
      <c r="M17" s="1086"/>
      <c r="N17" s="1078"/>
      <c r="O17" s="1094"/>
      <c r="P17" s="1103"/>
      <c r="Q17" s="1105"/>
      <c r="R17" s="1105"/>
      <c r="S17" s="1074"/>
      <c r="T17" s="1096"/>
      <c r="U17" s="1099"/>
      <c r="V17" s="1100"/>
      <c r="Y17" s="436"/>
      <c r="Z17" s="436"/>
    </row>
    <row r="18" spans="1:26" s="435" customFormat="1" ht="18" customHeight="1">
      <c r="A18" s="1065">
        <v>2</v>
      </c>
      <c r="B18" s="438" t="s">
        <v>971</v>
      </c>
      <c r="C18" s="1067">
        <v>250000</v>
      </c>
      <c r="D18" s="1069">
        <v>360</v>
      </c>
      <c r="E18" s="1069">
        <v>120</v>
      </c>
      <c r="F18" s="1071">
        <f>C18/E18</f>
        <v>2083.3333333333335</v>
      </c>
      <c r="G18" s="1073">
        <v>15</v>
      </c>
      <c r="H18" s="1073">
        <v>67</v>
      </c>
      <c r="I18" s="1075">
        <v>2</v>
      </c>
      <c r="J18" s="1091" t="str">
        <f>VLOOKUP(I18,'Tabelas Auxiliares 1'!$K$16:$L$24,2)</f>
        <v>Bom</v>
      </c>
      <c r="K18" s="1092">
        <f>ROUND((G18/H18*100/5),1)*5</f>
        <v>22.5</v>
      </c>
      <c r="L18" s="1092">
        <f>IF(I18=4,VLOOKUP(K18,'Tabelas Auxiliares 1'!A3:I201,8),IF(I18=4.5,VLOOKUP(K18,'Tabelas Auxiliares 1'!A3:I201,9),0))</f>
        <v>0</v>
      </c>
      <c r="M18" s="1093">
        <f>IF(K18&lt;2,1,IF(I18=1,VLOOKUP(K18,'Tabelas Auxiliares 1'!$A$1:$I$199,2),IF(I18=1.5,VLOOKUP(K18,'Tabelas Auxiliares 1'!$A$1:$I$199,3),IF(I18=2,VLOOKUP(K18,'Tabelas Auxiliares 1'!$A$1:$I$199,4),IF(I18=2.5,VLOOKUP(K18,'Tabelas Auxiliares 1'!$A$1:$I$199,5),IF(I18=3,VLOOKUP(K18,'Tabelas Auxiliares 1'!$A$1:$I$199,6),IF(I18=3.5,VLOOKUP(K18,'Tabelas Auxiliares 1'!$A$1:$I$199,7),L18)))))))</f>
        <v>0.84099999999999997</v>
      </c>
      <c r="N18" s="1078" t="s">
        <v>705</v>
      </c>
      <c r="O18" s="1094" t="str">
        <f>VLOOKUP(N18,'Tabelas Auxiliares 1'!$P$3:$R$37,2)</f>
        <v>Casa Médio</v>
      </c>
      <c r="P18" s="1103">
        <f>VLOOKUP(N18,'Tabelas Auxiliares 1'!$P$3:$R$37,3)</f>
        <v>1.3859999999999999</v>
      </c>
      <c r="Q18" s="1104" t="s">
        <v>704</v>
      </c>
      <c r="R18" s="1104" t="s">
        <v>967</v>
      </c>
      <c r="S18" s="1073">
        <v>2</v>
      </c>
      <c r="T18" s="1095">
        <v>1</v>
      </c>
      <c r="U18" s="1089"/>
      <c r="V18" s="1090"/>
      <c r="Y18" s="436"/>
      <c r="Z18" s="436"/>
    </row>
    <row r="19" spans="1:26" s="435" customFormat="1" ht="18" customHeight="1">
      <c r="A19" s="1066"/>
      <c r="B19" s="439" t="s">
        <v>972</v>
      </c>
      <c r="C19" s="1068"/>
      <c r="D19" s="1070"/>
      <c r="E19" s="1070"/>
      <c r="F19" s="1072"/>
      <c r="G19" s="1074"/>
      <c r="H19" s="1074"/>
      <c r="I19" s="1076"/>
      <c r="J19" s="1082"/>
      <c r="K19" s="1084"/>
      <c r="L19" s="1084"/>
      <c r="M19" s="1086"/>
      <c r="N19" s="1078"/>
      <c r="O19" s="1094"/>
      <c r="P19" s="1103"/>
      <c r="Q19" s="1105"/>
      <c r="R19" s="1105"/>
      <c r="S19" s="1074"/>
      <c r="T19" s="1096"/>
      <c r="U19" s="1089"/>
      <c r="V19" s="1090"/>
      <c r="Y19" s="436"/>
      <c r="Z19" s="436"/>
    </row>
    <row r="20" spans="1:26" s="435" customFormat="1" ht="18" customHeight="1">
      <c r="A20" s="1065">
        <v>3</v>
      </c>
      <c r="B20" s="438" t="s">
        <v>973</v>
      </c>
      <c r="C20" s="1067">
        <v>270000</v>
      </c>
      <c r="D20" s="1069" t="s">
        <v>952</v>
      </c>
      <c r="E20" s="1069">
        <v>108.74</v>
      </c>
      <c r="F20" s="1071">
        <f>C20/E20</f>
        <v>2482.9869413279384</v>
      </c>
      <c r="G20" s="1073">
        <v>10</v>
      </c>
      <c r="H20" s="1073">
        <v>67</v>
      </c>
      <c r="I20" s="1075">
        <v>2</v>
      </c>
      <c r="J20" s="1091" t="str">
        <f>VLOOKUP(I20,'Tabelas Auxiliares 1'!$K$16:$L$24,2)</f>
        <v>Bom</v>
      </c>
      <c r="K20" s="1092">
        <f>ROUND((G20/H20*100/5),1)*5</f>
        <v>15</v>
      </c>
      <c r="L20" s="1092">
        <f>IF(I20=4,VLOOKUP(K20,'Tabelas Auxiliares 1'!A5:I203,8),IF(I20=4.5,VLOOKUP(K20,'Tabelas Auxiliares 1'!A5:I203,9),0))</f>
        <v>0</v>
      </c>
      <c r="M20" s="1093">
        <f>IF(K20&lt;2,1,IF(I20=1,VLOOKUP(K20,'Tabelas Auxiliares 1'!$A$1:$I$199,2),IF(I20=1.5,VLOOKUP(K20,'Tabelas Auxiliares 1'!$A$1:$I$199,3),IF(I20=2,VLOOKUP(K20,'Tabelas Auxiliares 1'!$A$1:$I$199,4),IF(I20=2.5,VLOOKUP(K20,'Tabelas Auxiliares 1'!$A$1:$I$199,5),IF(I20=3,VLOOKUP(K20,'Tabelas Auxiliares 1'!$A$1:$I$199,6),IF(I20=3.5,VLOOKUP(K20,'Tabelas Auxiliares 1'!$A$1:$I$199,7),L20)))))))</f>
        <v>0.89100000000000001</v>
      </c>
      <c r="N20" s="1078" t="s">
        <v>705</v>
      </c>
      <c r="O20" s="1094" t="str">
        <f>VLOOKUP(N20,'Tabelas Auxiliares 1'!$P$3:$R$37,2)</f>
        <v>Casa Médio</v>
      </c>
      <c r="P20" s="1103">
        <f>VLOOKUP(N20,'Tabelas Auxiliares 1'!$P$3:$R$37,3)</f>
        <v>1.3859999999999999</v>
      </c>
      <c r="Q20" s="1104" t="s">
        <v>704</v>
      </c>
      <c r="R20" s="1073" t="s">
        <v>970</v>
      </c>
      <c r="S20" s="1073">
        <v>1</v>
      </c>
      <c r="T20" s="1095">
        <v>1</v>
      </c>
      <c r="U20" s="1089"/>
      <c r="V20" s="1090"/>
      <c r="Y20" s="436"/>
      <c r="Z20" s="436"/>
    </row>
    <row r="21" spans="1:26" s="435" customFormat="1" ht="18" customHeight="1">
      <c r="A21" s="1066"/>
      <c r="B21" s="439" t="s">
        <v>972</v>
      </c>
      <c r="C21" s="1068"/>
      <c r="D21" s="1070"/>
      <c r="E21" s="1070"/>
      <c r="F21" s="1072"/>
      <c r="G21" s="1074"/>
      <c r="H21" s="1074"/>
      <c r="I21" s="1076"/>
      <c r="J21" s="1082"/>
      <c r="K21" s="1084"/>
      <c r="L21" s="1084"/>
      <c r="M21" s="1086"/>
      <c r="N21" s="1078"/>
      <c r="O21" s="1094"/>
      <c r="P21" s="1103"/>
      <c r="Q21" s="1105"/>
      <c r="R21" s="1074"/>
      <c r="S21" s="1074"/>
      <c r="T21" s="1096"/>
      <c r="U21" s="1089"/>
      <c r="V21" s="1090"/>
      <c r="Y21" s="436"/>
      <c r="Z21" s="436"/>
    </row>
    <row r="22" spans="1:26" s="435" customFormat="1" ht="18" customHeight="1">
      <c r="A22" s="1065">
        <v>4</v>
      </c>
      <c r="B22" s="438" t="s">
        <v>969</v>
      </c>
      <c r="C22" s="1067">
        <v>130000</v>
      </c>
      <c r="D22" s="1106" t="s">
        <v>952</v>
      </c>
      <c r="E22" s="1106">
        <v>87</v>
      </c>
      <c r="F22" s="1071">
        <f>C22/E22</f>
        <v>1494.2528735632184</v>
      </c>
      <c r="G22" s="1073">
        <v>25</v>
      </c>
      <c r="H22" s="1073">
        <v>67</v>
      </c>
      <c r="I22" s="1075">
        <v>3.5</v>
      </c>
      <c r="J22" s="1091" t="str">
        <f>VLOOKUP(I22,'Tabelas Auxiliares 1'!$K$16:$L$24,2)</f>
        <v>Deficiente</v>
      </c>
      <c r="K22" s="1092">
        <f>ROUND((G22/H22*100/5),1)*5</f>
        <v>37.5</v>
      </c>
      <c r="L22" s="1092">
        <f>IF(I22=4,VLOOKUP(K22,'Tabelas Auxiliares 1'!A7:I205,8),IF(I22=4.5,VLOOKUP(K22,'Tabelas Auxiliares 1'!A7:I205,9),0))</f>
        <v>0</v>
      </c>
      <c r="M22" s="1093">
        <f>IF(K22&lt;2,1,IF(I22=1,VLOOKUP(K22,'Tabelas Auxiliares 1'!$A$1:$I$199,2),IF(I22=1.5,VLOOKUP(K22,'Tabelas Auxiliares 1'!$A$1:$I$199,3),IF(I22=2,VLOOKUP(K22,'Tabelas Auxiliares 1'!$A$1:$I$199,4),IF(I22=2.5,VLOOKUP(K22,'Tabelas Auxiliares 1'!$A$1:$I$199,5),IF(I22=3,VLOOKUP(K22,'Tabelas Auxiliares 1'!$A$1:$I$199,6),IF(I22=3.5,VLOOKUP(K22,'Tabelas Auxiliares 1'!$A$1:$I$199,7),L22)))))))</f>
        <v>0.496</v>
      </c>
      <c r="N22" s="1078" t="s">
        <v>750</v>
      </c>
      <c r="O22" s="1094" t="str">
        <f>VLOOKUP(N22,'Tabelas Auxiliares 1'!$P$3:$R$37,2)</f>
        <v>Casa Simples</v>
      </c>
      <c r="P22" s="1103">
        <f>VLOOKUP(N22,'Tabelas Auxiliares 1'!$P$3:$R$37,3)</f>
        <v>1.056</v>
      </c>
      <c r="Q22" s="1104" t="s">
        <v>704</v>
      </c>
      <c r="R22" s="1073" t="s">
        <v>970</v>
      </c>
      <c r="S22" s="1073">
        <v>6</v>
      </c>
      <c r="T22" s="1095">
        <v>1</v>
      </c>
      <c r="U22" s="1089"/>
      <c r="V22" s="1090"/>
      <c r="Y22" s="436"/>
      <c r="Z22" s="436"/>
    </row>
    <row r="23" spans="1:26" s="435" customFormat="1" ht="18" customHeight="1">
      <c r="A23" s="1066"/>
      <c r="B23" s="439" t="s">
        <v>968</v>
      </c>
      <c r="C23" s="1068"/>
      <c r="D23" s="1107"/>
      <c r="E23" s="1107"/>
      <c r="F23" s="1072"/>
      <c r="G23" s="1074"/>
      <c r="H23" s="1074"/>
      <c r="I23" s="1076"/>
      <c r="J23" s="1082"/>
      <c r="K23" s="1084"/>
      <c r="L23" s="1084"/>
      <c r="M23" s="1086"/>
      <c r="N23" s="1078"/>
      <c r="O23" s="1094"/>
      <c r="P23" s="1103"/>
      <c r="Q23" s="1105"/>
      <c r="R23" s="1074"/>
      <c r="S23" s="1074"/>
      <c r="T23" s="1096"/>
      <c r="U23" s="1089"/>
      <c r="V23" s="1090"/>
      <c r="Y23" s="436"/>
      <c r="Z23" s="436"/>
    </row>
    <row r="24" spans="1:26" s="435" customFormat="1" ht="18" customHeight="1">
      <c r="A24" s="1065">
        <v>5</v>
      </c>
      <c r="B24" s="438" t="s">
        <v>976</v>
      </c>
      <c r="C24" s="1067">
        <v>185000</v>
      </c>
      <c r="D24" s="1069" t="s">
        <v>952</v>
      </c>
      <c r="E24" s="1069">
        <v>100</v>
      </c>
      <c r="F24" s="1071">
        <f>C24/E24</f>
        <v>1850</v>
      </c>
      <c r="G24" s="1073">
        <v>25</v>
      </c>
      <c r="H24" s="1073">
        <v>67</v>
      </c>
      <c r="I24" s="1075">
        <v>3</v>
      </c>
      <c r="J24" s="1091" t="str">
        <f>VLOOKUP(I24,'Tabelas Auxiliares 1'!$K$16:$L$24,2)</f>
        <v>Regular</v>
      </c>
      <c r="K24" s="1092">
        <f>ROUND((G24/H24*100/5),1)*5</f>
        <v>37.5</v>
      </c>
      <c r="L24" s="1092">
        <f>IF(I24=4,VLOOKUP(K24,'Tabelas Auxiliares 1'!A9:I207,8),IF(I24=4.5,VLOOKUP(K24,'Tabelas Auxiliares 1'!A9:I207,9),0))</f>
        <v>0</v>
      </c>
      <c r="M24" s="1093">
        <f>IF(K24&lt;2,1,IF(I24=1,VLOOKUP(K24,'Tabelas Auxiliares 1'!$A$1:$I$199,2),IF(I24=1.5,VLOOKUP(K24,'Tabelas Auxiliares 1'!$A$1:$I$199,3),IF(I24=2,VLOOKUP(K24,'Tabelas Auxiliares 1'!$A$1:$I$199,4),IF(I24=2.5,VLOOKUP(K24,'Tabelas Auxiliares 1'!$A$1:$I$199,5),IF(I24=3,VLOOKUP(K24,'Tabelas Auxiliares 1'!$A$1:$I$199,6),IF(I24=3.5,VLOOKUP(K24,'Tabelas Auxiliares 1'!$A$1:$I$199,7),L24)))))))</f>
        <v>0.60799999999999998</v>
      </c>
      <c r="N24" s="1078" t="s">
        <v>705</v>
      </c>
      <c r="O24" s="1094" t="str">
        <f>VLOOKUP(N24,'Tabelas Auxiliares 1'!$P$3:$R$37,2)</f>
        <v>Casa Médio</v>
      </c>
      <c r="P24" s="1103">
        <f>VLOOKUP(N24,'Tabelas Auxiliares 1'!$P$3:$R$37,3)</f>
        <v>1.3859999999999999</v>
      </c>
      <c r="Q24" s="1104" t="s">
        <v>704</v>
      </c>
      <c r="R24" s="1073" t="s">
        <v>978</v>
      </c>
      <c r="S24" s="1073">
        <v>2</v>
      </c>
      <c r="T24" s="1095">
        <v>1</v>
      </c>
      <c r="U24" s="1089"/>
      <c r="V24" s="1090"/>
      <c r="Y24" s="436"/>
      <c r="Z24" s="436"/>
    </row>
    <row r="25" spans="1:26" s="435" customFormat="1" ht="18" customHeight="1">
      <c r="A25" s="1066"/>
      <c r="B25" s="439" t="s">
        <v>977</v>
      </c>
      <c r="C25" s="1068"/>
      <c r="D25" s="1070"/>
      <c r="E25" s="1070"/>
      <c r="F25" s="1072"/>
      <c r="G25" s="1074"/>
      <c r="H25" s="1074"/>
      <c r="I25" s="1076"/>
      <c r="J25" s="1082"/>
      <c r="K25" s="1084"/>
      <c r="L25" s="1084"/>
      <c r="M25" s="1086"/>
      <c r="N25" s="1078"/>
      <c r="O25" s="1094"/>
      <c r="P25" s="1103"/>
      <c r="Q25" s="1105"/>
      <c r="R25" s="1074"/>
      <c r="S25" s="1074"/>
      <c r="T25" s="1096"/>
      <c r="U25" s="1089"/>
      <c r="V25" s="1090"/>
      <c r="Y25" s="436"/>
      <c r="Z25" s="436"/>
    </row>
    <row r="26" spans="1:26" s="435" customFormat="1" ht="18" customHeight="1">
      <c r="A26" s="1108" t="s">
        <v>706</v>
      </c>
      <c r="B26" s="440" t="s">
        <v>974</v>
      </c>
      <c r="C26" s="1110"/>
      <c r="D26" s="1112">
        <v>360</v>
      </c>
      <c r="E26" s="1112">
        <v>139.30000000000001</v>
      </c>
      <c r="F26" s="1114"/>
      <c r="G26" s="1116">
        <v>10</v>
      </c>
      <c r="H26" s="1116">
        <v>67</v>
      </c>
      <c r="I26" s="1147">
        <v>2</v>
      </c>
      <c r="J26" s="1149" t="str">
        <f>VLOOKUP(I26,'Tabelas Auxiliares 1'!$K$16:$L$24,2)</f>
        <v>Bom</v>
      </c>
      <c r="K26" s="1116">
        <f>ROUND((G26/H26*100/5),1)*5</f>
        <v>15</v>
      </c>
      <c r="L26" s="1116">
        <f>IF(I26=4,VLOOKUP(K26,'Tabelas Auxiliares 1'!A13:I211,8),IF(I26=4.5,VLOOKUP(K26,'Tabelas Auxiliares 1'!A13:I211,9),0))</f>
        <v>0</v>
      </c>
      <c r="M26" s="1141">
        <f>IF(K26&lt;2,1,IF(I26=1,VLOOKUP(K26,'Tabelas Auxiliares 1'!$A$1:$I$199,2),IF(I26=1.5,VLOOKUP(K26,'Tabelas Auxiliares 1'!$A$1:$I$199,3),IF(I26=2,VLOOKUP(K26,'Tabelas Auxiliares 1'!$A$1:$I$199,4),IF(I26=2.5,VLOOKUP(K26,'Tabelas Auxiliares 1'!$A$1:$I$199,5),IF(I26=3,VLOOKUP(K26,'Tabelas Auxiliares 1'!$A$1:$I$199,6),IF(I26=3.5,VLOOKUP(K26,'Tabelas Auxiliares 1'!$A$1:$I$199,7),L26)))))))</f>
        <v>0.89100000000000001</v>
      </c>
      <c r="N26" s="1151" t="s">
        <v>705</v>
      </c>
      <c r="O26" s="1139" t="str">
        <f>VLOOKUP(N26,'Tabelas Auxiliares 1'!$P$3:$R$37,2)</f>
        <v>Casa Médio</v>
      </c>
      <c r="P26" s="1141">
        <f>VLOOKUP(N26,'Tabelas Auxiliares 1'!$P$3:$R$37,3)</f>
        <v>1.3859999999999999</v>
      </c>
      <c r="Q26" s="1143" t="s">
        <v>704</v>
      </c>
      <c r="R26" s="1116" t="s">
        <v>975</v>
      </c>
      <c r="S26" s="1116">
        <v>1</v>
      </c>
      <c r="T26" s="1145">
        <v>1</v>
      </c>
      <c r="U26" s="1124"/>
      <c r="V26" s="1125"/>
    </row>
    <row r="27" spans="1:26" s="435" customFormat="1" ht="18" customHeight="1" thickBot="1">
      <c r="A27" s="1109"/>
      <c r="B27" s="441" t="s">
        <v>707</v>
      </c>
      <c r="C27" s="1111"/>
      <c r="D27" s="1113"/>
      <c r="E27" s="1113"/>
      <c r="F27" s="1115"/>
      <c r="G27" s="1117"/>
      <c r="H27" s="1117"/>
      <c r="I27" s="1148"/>
      <c r="J27" s="1150"/>
      <c r="K27" s="1117"/>
      <c r="L27" s="1117"/>
      <c r="M27" s="1142"/>
      <c r="N27" s="1152"/>
      <c r="O27" s="1140"/>
      <c r="P27" s="1142"/>
      <c r="Q27" s="1144"/>
      <c r="R27" s="1117"/>
      <c r="S27" s="1117"/>
      <c r="T27" s="1146"/>
      <c r="U27" s="1126"/>
      <c r="V27" s="1127"/>
    </row>
    <row r="28" spans="1:26" s="435" customFormat="1" ht="15" customHeight="1" thickTop="1">
      <c r="A28" s="442"/>
      <c r="B28" s="442"/>
      <c r="C28" s="443"/>
      <c r="D28" s="444"/>
      <c r="E28" s="444"/>
      <c r="F28" s="445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7"/>
      <c r="R28" s="447"/>
      <c r="S28" s="447"/>
      <c r="T28" s="446"/>
    </row>
    <row r="30" spans="1:26">
      <c r="B30" s="1128"/>
      <c r="C30" s="1131"/>
      <c r="D30" s="1120"/>
      <c r="E30" s="1120"/>
      <c r="F30" s="1132"/>
      <c r="G30" s="1131"/>
      <c r="H30" s="1120"/>
      <c r="I30" s="1120"/>
      <c r="J30" s="1120"/>
      <c r="K30" s="1120"/>
      <c r="L30" s="1120"/>
      <c r="M30" s="1120"/>
      <c r="N30" s="1132"/>
      <c r="O30" s="1131"/>
      <c r="P30" s="1120"/>
      <c r="Q30" s="1120"/>
      <c r="R30" s="1132"/>
      <c r="S30" s="1131"/>
      <c r="T30" s="1120"/>
      <c r="U30" s="1120"/>
      <c r="V30" s="1132"/>
    </row>
    <row r="31" spans="1:26">
      <c r="B31" s="1129"/>
      <c r="C31" s="1133"/>
      <c r="D31" s="1134"/>
      <c r="E31" s="1134"/>
      <c r="F31" s="1135"/>
      <c r="G31" s="1133"/>
      <c r="H31" s="1134"/>
      <c r="I31" s="1134"/>
      <c r="J31" s="1134"/>
      <c r="K31" s="1134"/>
      <c r="L31" s="1134"/>
      <c r="M31" s="1134"/>
      <c r="N31" s="1135"/>
      <c r="O31" s="1133"/>
      <c r="P31" s="1134"/>
      <c r="Q31" s="1134"/>
      <c r="R31" s="1135"/>
      <c r="S31" s="1133"/>
      <c r="T31" s="1134"/>
      <c r="U31" s="1134"/>
      <c r="V31" s="1135"/>
    </row>
    <row r="32" spans="1:26">
      <c r="B32" s="1129"/>
      <c r="C32" s="1133"/>
      <c r="D32" s="1134"/>
      <c r="E32" s="1134"/>
      <c r="F32" s="1135"/>
      <c r="G32" s="1133"/>
      <c r="H32" s="1134"/>
      <c r="I32" s="1134"/>
      <c r="J32" s="1134"/>
      <c r="K32" s="1134"/>
      <c r="L32" s="1134"/>
      <c r="M32" s="1134"/>
      <c r="N32" s="1135"/>
      <c r="O32" s="1133"/>
      <c r="P32" s="1134"/>
      <c r="Q32" s="1134"/>
      <c r="R32" s="1135"/>
      <c r="S32" s="1133"/>
      <c r="T32" s="1134"/>
      <c r="U32" s="1134"/>
      <c r="V32" s="1135"/>
    </row>
    <row r="33" spans="1:22">
      <c r="B33" s="1129"/>
      <c r="C33" s="1133"/>
      <c r="D33" s="1134"/>
      <c r="E33" s="1134"/>
      <c r="F33" s="1135"/>
      <c r="G33" s="1133"/>
      <c r="H33" s="1134"/>
      <c r="I33" s="1134"/>
      <c r="J33" s="1134"/>
      <c r="K33" s="1134"/>
      <c r="L33" s="1134"/>
      <c r="M33" s="1134"/>
      <c r="N33" s="1135"/>
      <c r="O33" s="1133"/>
      <c r="P33" s="1134"/>
      <c r="Q33" s="1134"/>
      <c r="R33" s="1135"/>
      <c r="S33" s="1133"/>
      <c r="T33" s="1134"/>
      <c r="U33" s="1134"/>
      <c r="V33" s="1135"/>
    </row>
    <row r="34" spans="1:22">
      <c r="B34" s="1129"/>
      <c r="C34" s="1133"/>
      <c r="D34" s="1134"/>
      <c r="E34" s="1134"/>
      <c r="F34" s="1135"/>
      <c r="G34" s="1133"/>
      <c r="H34" s="1134"/>
      <c r="I34" s="1134"/>
      <c r="J34" s="1134"/>
      <c r="K34" s="1134"/>
      <c r="L34" s="1134"/>
      <c r="M34" s="1134"/>
      <c r="N34" s="1135"/>
      <c r="O34" s="1133"/>
      <c r="P34" s="1134"/>
      <c r="Q34" s="1134"/>
      <c r="R34" s="1135"/>
      <c r="S34" s="1133"/>
      <c r="T34" s="1134"/>
      <c r="U34" s="1134"/>
      <c r="V34" s="1135"/>
    </row>
    <row r="35" spans="1:22">
      <c r="B35" s="1129"/>
      <c r="C35" s="1133"/>
      <c r="D35" s="1134"/>
      <c r="E35" s="1134"/>
      <c r="F35" s="1135"/>
      <c r="G35" s="1133"/>
      <c r="H35" s="1134"/>
      <c r="I35" s="1134"/>
      <c r="J35" s="1134"/>
      <c r="K35" s="1134"/>
      <c r="L35" s="1134"/>
      <c r="M35" s="1134"/>
      <c r="N35" s="1135"/>
      <c r="O35" s="1133"/>
      <c r="P35" s="1134"/>
      <c r="Q35" s="1134"/>
      <c r="R35" s="1135"/>
      <c r="S35" s="1133"/>
      <c r="T35" s="1134"/>
      <c r="U35" s="1134"/>
      <c r="V35" s="1135"/>
    </row>
    <row r="36" spans="1:22">
      <c r="B36" s="1129"/>
      <c r="C36" s="1133"/>
      <c r="D36" s="1134"/>
      <c r="E36" s="1134"/>
      <c r="F36" s="1135"/>
      <c r="G36" s="1133"/>
      <c r="H36" s="1134"/>
      <c r="I36" s="1134"/>
      <c r="J36" s="1134"/>
      <c r="K36" s="1134"/>
      <c r="L36" s="1134"/>
      <c r="M36" s="1134"/>
      <c r="N36" s="1135"/>
      <c r="O36" s="1133"/>
      <c r="P36" s="1134"/>
      <c r="Q36" s="1134"/>
      <c r="R36" s="1135"/>
      <c r="S36" s="1133"/>
      <c r="T36" s="1134"/>
      <c r="U36" s="1134"/>
      <c r="V36" s="1135"/>
    </row>
    <row r="37" spans="1:22">
      <c r="B37" s="1129"/>
      <c r="C37" s="1133"/>
      <c r="D37" s="1134"/>
      <c r="E37" s="1134"/>
      <c r="F37" s="1135"/>
      <c r="G37" s="1133"/>
      <c r="H37" s="1134"/>
      <c r="I37" s="1134"/>
      <c r="J37" s="1134"/>
      <c r="K37" s="1134"/>
      <c r="L37" s="1134"/>
      <c r="M37" s="1134"/>
      <c r="N37" s="1135"/>
      <c r="O37" s="1133"/>
      <c r="P37" s="1134"/>
      <c r="Q37" s="1134"/>
      <c r="R37" s="1135"/>
      <c r="S37" s="1133"/>
      <c r="T37" s="1134"/>
      <c r="U37" s="1134"/>
      <c r="V37" s="1135"/>
    </row>
    <row r="38" spans="1:22">
      <c r="B38" s="1129"/>
      <c r="C38" s="1133"/>
      <c r="D38" s="1134"/>
      <c r="E38" s="1134"/>
      <c r="F38" s="1135"/>
      <c r="G38" s="1133"/>
      <c r="H38" s="1134"/>
      <c r="I38" s="1134"/>
      <c r="J38" s="1134"/>
      <c r="K38" s="1134"/>
      <c r="L38" s="1134"/>
      <c r="M38" s="1134"/>
      <c r="N38" s="1135"/>
      <c r="O38" s="1133"/>
      <c r="P38" s="1134"/>
      <c r="Q38" s="1134"/>
      <c r="R38" s="1135"/>
      <c r="S38" s="1133"/>
      <c r="T38" s="1134"/>
      <c r="U38" s="1134"/>
      <c r="V38" s="1135"/>
    </row>
    <row r="39" spans="1:22">
      <c r="A39" s="448"/>
      <c r="B39" s="1129"/>
      <c r="C39" s="1133"/>
      <c r="D39" s="1134"/>
      <c r="E39" s="1134"/>
      <c r="F39" s="1135"/>
      <c r="G39" s="1133"/>
      <c r="H39" s="1134"/>
      <c r="I39" s="1134"/>
      <c r="J39" s="1134"/>
      <c r="K39" s="1134"/>
      <c r="L39" s="1134"/>
      <c r="M39" s="1134"/>
      <c r="N39" s="1135"/>
      <c r="O39" s="1133"/>
      <c r="P39" s="1134"/>
      <c r="Q39" s="1134"/>
      <c r="R39" s="1135"/>
      <c r="S39" s="1133"/>
      <c r="T39" s="1134"/>
      <c r="U39" s="1134"/>
      <c r="V39" s="1135"/>
    </row>
    <row r="40" spans="1:22">
      <c r="A40" s="448"/>
      <c r="B40" s="1129"/>
      <c r="C40" s="1133"/>
      <c r="D40" s="1134"/>
      <c r="E40" s="1134"/>
      <c r="F40" s="1135"/>
      <c r="G40" s="1133"/>
      <c r="H40" s="1134"/>
      <c r="I40" s="1134"/>
      <c r="J40" s="1134"/>
      <c r="K40" s="1134"/>
      <c r="L40" s="1134"/>
      <c r="M40" s="1134"/>
      <c r="N40" s="1135"/>
      <c r="O40" s="1133"/>
      <c r="P40" s="1134"/>
      <c r="Q40" s="1134"/>
      <c r="R40" s="1135"/>
      <c r="S40" s="1133"/>
      <c r="T40" s="1134"/>
      <c r="U40" s="1134"/>
      <c r="V40" s="1135"/>
    </row>
    <row r="41" spans="1:22">
      <c r="A41" s="448"/>
      <c r="B41" s="1129"/>
      <c r="C41" s="1133"/>
      <c r="D41" s="1134"/>
      <c r="E41" s="1134"/>
      <c r="F41" s="1135"/>
      <c r="G41" s="1133"/>
      <c r="H41" s="1134"/>
      <c r="I41" s="1134"/>
      <c r="J41" s="1134"/>
      <c r="K41" s="1134"/>
      <c r="L41" s="1134"/>
      <c r="M41" s="1134"/>
      <c r="N41" s="1135"/>
      <c r="O41" s="1133"/>
      <c r="P41" s="1134"/>
      <c r="Q41" s="1134"/>
      <c r="R41" s="1135"/>
      <c r="S41" s="1133"/>
      <c r="T41" s="1134"/>
      <c r="U41" s="1134"/>
      <c r="V41" s="1135"/>
    </row>
    <row r="42" spans="1:22">
      <c r="A42" s="448"/>
      <c r="B42" s="1129"/>
      <c r="C42" s="1133"/>
      <c r="D42" s="1134"/>
      <c r="E42" s="1134"/>
      <c r="F42" s="1135"/>
      <c r="G42" s="1133"/>
      <c r="H42" s="1134"/>
      <c r="I42" s="1134"/>
      <c r="J42" s="1134"/>
      <c r="K42" s="1134"/>
      <c r="L42" s="1134"/>
      <c r="M42" s="1134"/>
      <c r="N42" s="1135"/>
      <c r="O42" s="1133"/>
      <c r="P42" s="1134"/>
      <c r="Q42" s="1134"/>
      <c r="R42" s="1135"/>
      <c r="S42" s="1133"/>
      <c r="T42" s="1134"/>
      <c r="U42" s="1134"/>
      <c r="V42" s="1135"/>
    </row>
    <row r="43" spans="1:22">
      <c r="A43" s="448"/>
      <c r="B43" s="1129"/>
      <c r="C43" s="1133"/>
      <c r="D43" s="1134"/>
      <c r="E43" s="1134"/>
      <c r="F43" s="1135"/>
      <c r="G43" s="1133"/>
      <c r="H43" s="1134"/>
      <c r="I43" s="1134"/>
      <c r="J43" s="1134"/>
      <c r="K43" s="1134"/>
      <c r="L43" s="1134"/>
      <c r="M43" s="1134"/>
      <c r="N43" s="1135"/>
      <c r="O43" s="1133"/>
      <c r="P43" s="1134"/>
      <c r="Q43" s="1134"/>
      <c r="R43" s="1135"/>
      <c r="S43" s="1133"/>
      <c r="T43" s="1134"/>
      <c r="U43" s="1134"/>
      <c r="V43" s="1135"/>
    </row>
    <row r="44" spans="1:22">
      <c r="A44" s="448"/>
      <c r="B44" s="1129"/>
      <c r="C44" s="1133"/>
      <c r="D44" s="1134"/>
      <c r="E44" s="1134"/>
      <c r="F44" s="1135"/>
      <c r="G44" s="1133"/>
      <c r="H44" s="1134"/>
      <c r="I44" s="1134"/>
      <c r="J44" s="1134"/>
      <c r="K44" s="1134"/>
      <c r="L44" s="1134"/>
      <c r="M44" s="1134"/>
      <c r="N44" s="1135"/>
      <c r="O44" s="1133"/>
      <c r="P44" s="1134"/>
      <c r="Q44" s="1134"/>
      <c r="R44" s="1135"/>
      <c r="S44" s="1133"/>
      <c r="T44" s="1134"/>
      <c r="U44" s="1134"/>
      <c r="V44" s="1135"/>
    </row>
    <row r="45" spans="1:22">
      <c r="A45" s="448"/>
      <c r="B45" s="1130"/>
      <c r="C45" s="1136"/>
      <c r="D45" s="1137"/>
      <c r="E45" s="1137"/>
      <c r="F45" s="1138"/>
      <c r="G45" s="1136"/>
      <c r="H45" s="1137"/>
      <c r="I45" s="1137"/>
      <c r="J45" s="1137"/>
      <c r="K45" s="1137"/>
      <c r="L45" s="1137"/>
      <c r="M45" s="1137"/>
      <c r="N45" s="1138"/>
      <c r="O45" s="1136"/>
      <c r="P45" s="1137"/>
      <c r="Q45" s="1137"/>
      <c r="R45" s="1138"/>
      <c r="S45" s="1136"/>
      <c r="T45" s="1137"/>
      <c r="U45" s="1137"/>
      <c r="V45" s="1138"/>
    </row>
    <row r="46" spans="1:22">
      <c r="B46" s="1118" t="s">
        <v>708</v>
      </c>
      <c r="C46" s="1118" t="s">
        <v>709</v>
      </c>
      <c r="D46" s="1120"/>
      <c r="E46" s="1120"/>
      <c r="F46" s="1120"/>
      <c r="G46" s="1118" t="s">
        <v>710</v>
      </c>
      <c r="H46" s="1120"/>
      <c r="I46" s="1120"/>
      <c r="J46" s="1120"/>
      <c r="K46" s="1120"/>
      <c r="L46" s="1120"/>
      <c r="M46" s="1120"/>
      <c r="N46" s="1120"/>
      <c r="O46" s="1118" t="s">
        <v>711</v>
      </c>
      <c r="P46" s="1120"/>
      <c r="Q46" s="1120"/>
      <c r="R46" s="1120"/>
      <c r="S46" s="1121" t="s">
        <v>712</v>
      </c>
      <c r="T46" s="1122"/>
      <c r="U46" s="1122"/>
      <c r="V46" s="1122"/>
    </row>
    <row r="47" spans="1:22">
      <c r="B47" s="1119"/>
      <c r="C47" s="1119"/>
      <c r="D47" s="1119"/>
      <c r="E47" s="1119"/>
      <c r="F47" s="1119"/>
      <c r="G47" s="1119"/>
      <c r="H47" s="1119"/>
      <c r="I47" s="1119"/>
      <c r="J47" s="1119"/>
      <c r="K47" s="1119"/>
      <c r="L47" s="1119"/>
      <c r="M47" s="1119"/>
      <c r="N47" s="1119"/>
      <c r="O47" s="1119"/>
      <c r="P47" s="1119"/>
      <c r="Q47" s="1119"/>
      <c r="R47" s="1119"/>
      <c r="S47" s="1123"/>
      <c r="T47" s="1123"/>
      <c r="U47" s="1123"/>
      <c r="V47" s="1123"/>
    </row>
    <row r="53" spans="4:4">
      <c r="D53" s="449"/>
    </row>
  </sheetData>
  <mergeCells count="152">
    <mergeCell ref="B46:B47"/>
    <mergeCell ref="C46:F47"/>
    <mergeCell ref="G46:N47"/>
    <mergeCell ref="O46:R47"/>
    <mergeCell ref="S46:V47"/>
    <mergeCell ref="U26:V27"/>
    <mergeCell ref="B30:B45"/>
    <mergeCell ref="C30:F45"/>
    <mergeCell ref="G30:N45"/>
    <mergeCell ref="O30:R45"/>
    <mergeCell ref="S30:V45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A26:A27"/>
    <mergeCell ref="C26:C27"/>
    <mergeCell ref="D26:D27"/>
    <mergeCell ref="E26:E27"/>
    <mergeCell ref="F26:F27"/>
    <mergeCell ref="G26:G27"/>
    <mergeCell ref="H26:H27"/>
    <mergeCell ref="M24:M25"/>
    <mergeCell ref="N24:N25"/>
    <mergeCell ref="G24:G25"/>
    <mergeCell ref="H24:H25"/>
    <mergeCell ref="I24:I25"/>
    <mergeCell ref="J24:J25"/>
    <mergeCell ref="K24:K25"/>
    <mergeCell ref="L24:L25"/>
    <mergeCell ref="Q22:Q23"/>
    <mergeCell ref="R22:R23"/>
    <mergeCell ref="S22:S23"/>
    <mergeCell ref="T22:T23"/>
    <mergeCell ref="U22:V23"/>
    <mergeCell ref="A24:A25"/>
    <mergeCell ref="C24:C25"/>
    <mergeCell ref="D24:D25"/>
    <mergeCell ref="E24:E25"/>
    <mergeCell ref="F24:F25"/>
    <mergeCell ref="K22:K23"/>
    <mergeCell ref="L22:L23"/>
    <mergeCell ref="M22:M23"/>
    <mergeCell ref="N22:N23"/>
    <mergeCell ref="O22:O23"/>
    <mergeCell ref="P22:P23"/>
    <mergeCell ref="S24:S25"/>
    <mergeCell ref="T24:T25"/>
    <mergeCell ref="U24:V25"/>
    <mergeCell ref="O24:O25"/>
    <mergeCell ref="P24:P25"/>
    <mergeCell ref="Q24:Q25"/>
    <mergeCell ref="R24:R25"/>
    <mergeCell ref="U20:V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N20:N21"/>
    <mergeCell ref="O20:O21"/>
    <mergeCell ref="P20:P21"/>
    <mergeCell ref="Q20:Q21"/>
    <mergeCell ref="S20:S21"/>
    <mergeCell ref="T20:T21"/>
    <mergeCell ref="H20:H21"/>
    <mergeCell ref="I20:I21"/>
    <mergeCell ref="J20:J21"/>
    <mergeCell ref="K20:K21"/>
    <mergeCell ref="L20:L21"/>
    <mergeCell ref="M20:M21"/>
    <mergeCell ref="A20:A21"/>
    <mergeCell ref="C20:C21"/>
    <mergeCell ref="D20:D21"/>
    <mergeCell ref="E20:E21"/>
    <mergeCell ref="F20:F21"/>
    <mergeCell ref="G20:G21"/>
    <mergeCell ref="P18:P19"/>
    <mergeCell ref="Q18:Q19"/>
    <mergeCell ref="R18:R19"/>
    <mergeCell ref="S18:S19"/>
    <mergeCell ref="T18:T19"/>
    <mergeCell ref="R20:R21"/>
    <mergeCell ref="U18:V19"/>
    <mergeCell ref="J18:J19"/>
    <mergeCell ref="K18:K19"/>
    <mergeCell ref="L18:L19"/>
    <mergeCell ref="M18:M19"/>
    <mergeCell ref="N18:N19"/>
    <mergeCell ref="O18:O19"/>
    <mergeCell ref="T16:T17"/>
    <mergeCell ref="U16:V17"/>
    <mergeCell ref="O16:O17"/>
    <mergeCell ref="P16:P17"/>
    <mergeCell ref="Q16:Q17"/>
    <mergeCell ref="R16:R17"/>
    <mergeCell ref="S16:S17"/>
    <mergeCell ref="A18:A19"/>
    <mergeCell ref="C18:C19"/>
    <mergeCell ref="D18:D19"/>
    <mergeCell ref="E18:E19"/>
    <mergeCell ref="F18:F19"/>
    <mergeCell ref="G18:G19"/>
    <mergeCell ref="H18:H19"/>
    <mergeCell ref="I18:I19"/>
    <mergeCell ref="N16:N17"/>
    <mergeCell ref="H16:H17"/>
    <mergeCell ref="I16:I17"/>
    <mergeCell ref="J16:J17"/>
    <mergeCell ref="K16:K17"/>
    <mergeCell ref="L16:L17"/>
    <mergeCell ref="M16:M17"/>
    <mergeCell ref="A16:A17"/>
    <mergeCell ref="C16:C17"/>
    <mergeCell ref="D16:D17"/>
    <mergeCell ref="E16:E17"/>
    <mergeCell ref="F16:F17"/>
    <mergeCell ref="G16:G17"/>
    <mergeCell ref="S13:S15"/>
    <mergeCell ref="T13:T15"/>
    <mergeCell ref="U13:V15"/>
    <mergeCell ref="N14:N15"/>
    <mergeCell ref="O14:O15"/>
    <mergeCell ref="P14:P15"/>
    <mergeCell ref="K13:K15"/>
    <mergeCell ref="L13:L15"/>
    <mergeCell ref="M13:M15"/>
    <mergeCell ref="N13:P13"/>
    <mergeCell ref="Q13:Q15"/>
    <mergeCell ref="R13:R15"/>
    <mergeCell ref="C1:O2"/>
    <mergeCell ref="A13:A15"/>
    <mergeCell ref="B13:B14"/>
    <mergeCell ref="C13:C15"/>
    <mergeCell ref="D13:D15"/>
    <mergeCell ref="E13:E15"/>
    <mergeCell ref="F13:F15"/>
    <mergeCell ref="G13:G15"/>
    <mergeCell ref="H13:H15"/>
    <mergeCell ref="I13:J15"/>
  </mergeCells>
  <pageMargins left="0.78740157480314965" right="0.78740157480314965" top="0.98425196850393704" bottom="0.98425196850393704" header="0.51181102362204722" footer="0.51181102362204722"/>
  <pageSetup paperSize="9" scale="4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5"/>
  <sheetViews>
    <sheetView showGridLines="0" view="pageBreakPreview" zoomScale="80" zoomScaleNormal="75" zoomScaleSheetLayoutView="80" workbookViewId="0">
      <selection activeCell="M23" sqref="M23"/>
    </sheetView>
  </sheetViews>
  <sheetFormatPr defaultRowHeight="12.75"/>
  <cols>
    <col min="1" max="1" width="12.42578125" style="399" customWidth="1"/>
    <col min="2" max="2" width="8.42578125" style="399" hidden="1" customWidth="1"/>
    <col min="3" max="3" width="52.140625" style="399" customWidth="1"/>
    <col min="4" max="4" width="17.28515625" style="399" customWidth="1"/>
    <col min="5" max="5" width="13.42578125" style="399" customWidth="1"/>
    <col min="6" max="6" width="13.85546875" style="399" customWidth="1"/>
    <col min="7" max="7" width="15.7109375" style="399" customWidth="1"/>
    <col min="8" max="8" width="16" style="399" customWidth="1"/>
    <col min="9" max="10" width="15.85546875" style="399" customWidth="1"/>
    <col min="11" max="11" width="14" style="400" customWidth="1"/>
    <col min="12" max="13" width="18.85546875" style="400" customWidth="1"/>
    <col min="14" max="14" width="16.7109375" style="399" customWidth="1"/>
    <col min="15" max="15" width="18" style="399" customWidth="1"/>
    <col min="16" max="24" width="9.140625" style="399"/>
    <col min="25" max="25" width="17" style="399" hidden="1" customWidth="1"/>
    <col min="26" max="26" width="15" style="399" hidden="1" customWidth="1"/>
    <col min="27" max="27" width="10.42578125" style="399" hidden="1" customWidth="1"/>
    <col min="28" max="256" width="9.140625" style="399"/>
    <col min="257" max="257" width="12.42578125" style="399" customWidth="1"/>
    <col min="258" max="258" width="0" style="399" hidden="1" customWidth="1"/>
    <col min="259" max="259" width="52.140625" style="399" customWidth="1"/>
    <col min="260" max="260" width="17.28515625" style="399" customWidth="1"/>
    <col min="261" max="261" width="13.42578125" style="399" customWidth="1"/>
    <col min="262" max="262" width="13.85546875" style="399" customWidth="1"/>
    <col min="263" max="263" width="15.7109375" style="399" customWidth="1"/>
    <col min="264" max="264" width="16" style="399" customWidth="1"/>
    <col min="265" max="266" width="15.85546875" style="399" customWidth="1"/>
    <col min="267" max="267" width="14" style="399" customWidth="1"/>
    <col min="268" max="269" width="18.85546875" style="399" customWidth="1"/>
    <col min="270" max="270" width="16.7109375" style="399" customWidth="1"/>
    <col min="271" max="271" width="18" style="399" customWidth="1"/>
    <col min="272" max="280" width="9.140625" style="399"/>
    <col min="281" max="283" width="0" style="399" hidden="1" customWidth="1"/>
    <col min="284" max="512" width="9.140625" style="399"/>
    <col min="513" max="513" width="12.42578125" style="399" customWidth="1"/>
    <col min="514" max="514" width="0" style="399" hidden="1" customWidth="1"/>
    <col min="515" max="515" width="52.140625" style="399" customWidth="1"/>
    <col min="516" max="516" width="17.28515625" style="399" customWidth="1"/>
    <col min="517" max="517" width="13.42578125" style="399" customWidth="1"/>
    <col min="518" max="518" width="13.85546875" style="399" customWidth="1"/>
    <col min="519" max="519" width="15.7109375" style="399" customWidth="1"/>
    <col min="520" max="520" width="16" style="399" customWidth="1"/>
    <col min="521" max="522" width="15.85546875" style="399" customWidth="1"/>
    <col min="523" max="523" width="14" style="399" customWidth="1"/>
    <col min="524" max="525" width="18.85546875" style="399" customWidth="1"/>
    <col min="526" max="526" width="16.7109375" style="399" customWidth="1"/>
    <col min="527" max="527" width="18" style="399" customWidth="1"/>
    <col min="528" max="536" width="9.140625" style="399"/>
    <col min="537" max="539" width="0" style="399" hidden="1" customWidth="1"/>
    <col min="540" max="768" width="9.140625" style="399"/>
    <col min="769" max="769" width="12.42578125" style="399" customWidth="1"/>
    <col min="770" max="770" width="0" style="399" hidden="1" customWidth="1"/>
    <col min="771" max="771" width="52.140625" style="399" customWidth="1"/>
    <col min="772" max="772" width="17.28515625" style="399" customWidth="1"/>
    <col min="773" max="773" width="13.42578125" style="399" customWidth="1"/>
    <col min="774" max="774" width="13.85546875" style="399" customWidth="1"/>
    <col min="775" max="775" width="15.7109375" style="399" customWidth="1"/>
    <col min="776" max="776" width="16" style="399" customWidth="1"/>
    <col min="777" max="778" width="15.85546875" style="399" customWidth="1"/>
    <col min="779" max="779" width="14" style="399" customWidth="1"/>
    <col min="780" max="781" width="18.85546875" style="399" customWidth="1"/>
    <col min="782" max="782" width="16.7109375" style="399" customWidth="1"/>
    <col min="783" max="783" width="18" style="399" customWidth="1"/>
    <col min="784" max="792" width="9.140625" style="399"/>
    <col min="793" max="795" width="0" style="399" hidden="1" customWidth="1"/>
    <col min="796" max="1024" width="9.140625" style="399"/>
    <col min="1025" max="1025" width="12.42578125" style="399" customWidth="1"/>
    <col min="1026" max="1026" width="0" style="399" hidden="1" customWidth="1"/>
    <col min="1027" max="1027" width="52.140625" style="399" customWidth="1"/>
    <col min="1028" max="1028" width="17.28515625" style="399" customWidth="1"/>
    <col min="1029" max="1029" width="13.42578125" style="399" customWidth="1"/>
    <col min="1030" max="1030" width="13.85546875" style="399" customWidth="1"/>
    <col min="1031" max="1031" width="15.7109375" style="399" customWidth="1"/>
    <col min="1032" max="1032" width="16" style="399" customWidth="1"/>
    <col min="1033" max="1034" width="15.85546875" style="399" customWidth="1"/>
    <col min="1035" max="1035" width="14" style="399" customWidth="1"/>
    <col min="1036" max="1037" width="18.85546875" style="399" customWidth="1"/>
    <col min="1038" max="1038" width="16.7109375" style="399" customWidth="1"/>
    <col min="1039" max="1039" width="18" style="399" customWidth="1"/>
    <col min="1040" max="1048" width="9.140625" style="399"/>
    <col min="1049" max="1051" width="0" style="399" hidden="1" customWidth="1"/>
    <col min="1052" max="1280" width="9.140625" style="399"/>
    <col min="1281" max="1281" width="12.42578125" style="399" customWidth="1"/>
    <col min="1282" max="1282" width="0" style="399" hidden="1" customWidth="1"/>
    <col min="1283" max="1283" width="52.140625" style="399" customWidth="1"/>
    <col min="1284" max="1284" width="17.28515625" style="399" customWidth="1"/>
    <col min="1285" max="1285" width="13.42578125" style="399" customWidth="1"/>
    <col min="1286" max="1286" width="13.85546875" style="399" customWidth="1"/>
    <col min="1287" max="1287" width="15.7109375" style="399" customWidth="1"/>
    <col min="1288" max="1288" width="16" style="399" customWidth="1"/>
    <col min="1289" max="1290" width="15.85546875" style="399" customWidth="1"/>
    <col min="1291" max="1291" width="14" style="399" customWidth="1"/>
    <col min="1292" max="1293" width="18.85546875" style="399" customWidth="1"/>
    <col min="1294" max="1294" width="16.7109375" style="399" customWidth="1"/>
    <col min="1295" max="1295" width="18" style="399" customWidth="1"/>
    <col min="1296" max="1304" width="9.140625" style="399"/>
    <col min="1305" max="1307" width="0" style="399" hidden="1" customWidth="1"/>
    <col min="1308" max="1536" width="9.140625" style="399"/>
    <col min="1537" max="1537" width="12.42578125" style="399" customWidth="1"/>
    <col min="1538" max="1538" width="0" style="399" hidden="1" customWidth="1"/>
    <col min="1539" max="1539" width="52.140625" style="399" customWidth="1"/>
    <col min="1540" max="1540" width="17.28515625" style="399" customWidth="1"/>
    <col min="1541" max="1541" width="13.42578125" style="399" customWidth="1"/>
    <col min="1542" max="1542" width="13.85546875" style="399" customWidth="1"/>
    <col min="1543" max="1543" width="15.7109375" style="399" customWidth="1"/>
    <col min="1544" max="1544" width="16" style="399" customWidth="1"/>
    <col min="1545" max="1546" width="15.85546875" style="399" customWidth="1"/>
    <col min="1547" max="1547" width="14" style="399" customWidth="1"/>
    <col min="1548" max="1549" width="18.85546875" style="399" customWidth="1"/>
    <col min="1550" max="1550" width="16.7109375" style="399" customWidth="1"/>
    <col min="1551" max="1551" width="18" style="399" customWidth="1"/>
    <col min="1552" max="1560" width="9.140625" style="399"/>
    <col min="1561" max="1563" width="0" style="399" hidden="1" customWidth="1"/>
    <col min="1564" max="1792" width="9.140625" style="399"/>
    <col min="1793" max="1793" width="12.42578125" style="399" customWidth="1"/>
    <col min="1794" max="1794" width="0" style="399" hidden="1" customWidth="1"/>
    <col min="1795" max="1795" width="52.140625" style="399" customWidth="1"/>
    <col min="1796" max="1796" width="17.28515625" style="399" customWidth="1"/>
    <col min="1797" max="1797" width="13.42578125" style="399" customWidth="1"/>
    <col min="1798" max="1798" width="13.85546875" style="399" customWidth="1"/>
    <col min="1799" max="1799" width="15.7109375" style="399" customWidth="1"/>
    <col min="1800" max="1800" width="16" style="399" customWidth="1"/>
    <col min="1801" max="1802" width="15.85546875" style="399" customWidth="1"/>
    <col min="1803" max="1803" width="14" style="399" customWidth="1"/>
    <col min="1804" max="1805" width="18.85546875" style="399" customWidth="1"/>
    <col min="1806" max="1806" width="16.7109375" style="399" customWidth="1"/>
    <col min="1807" max="1807" width="18" style="399" customWidth="1"/>
    <col min="1808" max="1816" width="9.140625" style="399"/>
    <col min="1817" max="1819" width="0" style="399" hidden="1" customWidth="1"/>
    <col min="1820" max="2048" width="9.140625" style="399"/>
    <col min="2049" max="2049" width="12.42578125" style="399" customWidth="1"/>
    <col min="2050" max="2050" width="0" style="399" hidden="1" customWidth="1"/>
    <col min="2051" max="2051" width="52.140625" style="399" customWidth="1"/>
    <col min="2052" max="2052" width="17.28515625" style="399" customWidth="1"/>
    <col min="2053" max="2053" width="13.42578125" style="399" customWidth="1"/>
    <col min="2054" max="2054" width="13.85546875" style="399" customWidth="1"/>
    <col min="2055" max="2055" width="15.7109375" style="399" customWidth="1"/>
    <col min="2056" max="2056" width="16" style="399" customWidth="1"/>
    <col min="2057" max="2058" width="15.85546875" style="399" customWidth="1"/>
    <col min="2059" max="2059" width="14" style="399" customWidth="1"/>
    <col min="2060" max="2061" width="18.85546875" style="399" customWidth="1"/>
    <col min="2062" max="2062" width="16.7109375" style="399" customWidth="1"/>
    <col min="2063" max="2063" width="18" style="399" customWidth="1"/>
    <col min="2064" max="2072" width="9.140625" style="399"/>
    <col min="2073" max="2075" width="0" style="399" hidden="1" customWidth="1"/>
    <col min="2076" max="2304" width="9.140625" style="399"/>
    <col min="2305" max="2305" width="12.42578125" style="399" customWidth="1"/>
    <col min="2306" max="2306" width="0" style="399" hidden="1" customWidth="1"/>
    <col min="2307" max="2307" width="52.140625" style="399" customWidth="1"/>
    <col min="2308" max="2308" width="17.28515625" style="399" customWidth="1"/>
    <col min="2309" max="2309" width="13.42578125" style="399" customWidth="1"/>
    <col min="2310" max="2310" width="13.85546875" style="399" customWidth="1"/>
    <col min="2311" max="2311" width="15.7109375" style="399" customWidth="1"/>
    <col min="2312" max="2312" width="16" style="399" customWidth="1"/>
    <col min="2313" max="2314" width="15.85546875" style="399" customWidth="1"/>
    <col min="2315" max="2315" width="14" style="399" customWidth="1"/>
    <col min="2316" max="2317" width="18.85546875" style="399" customWidth="1"/>
    <col min="2318" max="2318" width="16.7109375" style="399" customWidth="1"/>
    <col min="2319" max="2319" width="18" style="399" customWidth="1"/>
    <col min="2320" max="2328" width="9.140625" style="399"/>
    <col min="2329" max="2331" width="0" style="399" hidden="1" customWidth="1"/>
    <col min="2332" max="2560" width="9.140625" style="399"/>
    <col min="2561" max="2561" width="12.42578125" style="399" customWidth="1"/>
    <col min="2562" max="2562" width="0" style="399" hidden="1" customWidth="1"/>
    <col min="2563" max="2563" width="52.140625" style="399" customWidth="1"/>
    <col min="2564" max="2564" width="17.28515625" style="399" customWidth="1"/>
    <col min="2565" max="2565" width="13.42578125" style="399" customWidth="1"/>
    <col min="2566" max="2566" width="13.85546875" style="399" customWidth="1"/>
    <col min="2567" max="2567" width="15.7109375" style="399" customWidth="1"/>
    <col min="2568" max="2568" width="16" style="399" customWidth="1"/>
    <col min="2569" max="2570" width="15.85546875" style="399" customWidth="1"/>
    <col min="2571" max="2571" width="14" style="399" customWidth="1"/>
    <col min="2572" max="2573" width="18.85546875" style="399" customWidth="1"/>
    <col min="2574" max="2574" width="16.7109375" style="399" customWidth="1"/>
    <col min="2575" max="2575" width="18" style="399" customWidth="1"/>
    <col min="2576" max="2584" width="9.140625" style="399"/>
    <col min="2585" max="2587" width="0" style="399" hidden="1" customWidth="1"/>
    <col min="2588" max="2816" width="9.140625" style="399"/>
    <col min="2817" max="2817" width="12.42578125" style="399" customWidth="1"/>
    <col min="2818" max="2818" width="0" style="399" hidden="1" customWidth="1"/>
    <col min="2819" max="2819" width="52.140625" style="399" customWidth="1"/>
    <col min="2820" max="2820" width="17.28515625" style="399" customWidth="1"/>
    <col min="2821" max="2821" width="13.42578125" style="399" customWidth="1"/>
    <col min="2822" max="2822" width="13.85546875" style="399" customWidth="1"/>
    <col min="2823" max="2823" width="15.7109375" style="399" customWidth="1"/>
    <col min="2824" max="2824" width="16" style="399" customWidth="1"/>
    <col min="2825" max="2826" width="15.85546875" style="399" customWidth="1"/>
    <col min="2827" max="2827" width="14" style="399" customWidth="1"/>
    <col min="2828" max="2829" width="18.85546875" style="399" customWidth="1"/>
    <col min="2830" max="2830" width="16.7109375" style="399" customWidth="1"/>
    <col min="2831" max="2831" width="18" style="399" customWidth="1"/>
    <col min="2832" max="2840" width="9.140625" style="399"/>
    <col min="2841" max="2843" width="0" style="399" hidden="1" customWidth="1"/>
    <col min="2844" max="3072" width="9.140625" style="399"/>
    <col min="3073" max="3073" width="12.42578125" style="399" customWidth="1"/>
    <col min="3074" max="3074" width="0" style="399" hidden="1" customWidth="1"/>
    <col min="3075" max="3075" width="52.140625" style="399" customWidth="1"/>
    <col min="3076" max="3076" width="17.28515625" style="399" customWidth="1"/>
    <col min="3077" max="3077" width="13.42578125" style="399" customWidth="1"/>
    <col min="3078" max="3078" width="13.85546875" style="399" customWidth="1"/>
    <col min="3079" max="3079" width="15.7109375" style="399" customWidth="1"/>
    <col min="3080" max="3080" width="16" style="399" customWidth="1"/>
    <col min="3081" max="3082" width="15.85546875" style="399" customWidth="1"/>
    <col min="3083" max="3083" width="14" style="399" customWidth="1"/>
    <col min="3084" max="3085" width="18.85546875" style="399" customWidth="1"/>
    <col min="3086" max="3086" width="16.7109375" style="399" customWidth="1"/>
    <col min="3087" max="3087" width="18" style="399" customWidth="1"/>
    <col min="3088" max="3096" width="9.140625" style="399"/>
    <col min="3097" max="3099" width="0" style="399" hidden="1" customWidth="1"/>
    <col min="3100" max="3328" width="9.140625" style="399"/>
    <col min="3329" max="3329" width="12.42578125" style="399" customWidth="1"/>
    <col min="3330" max="3330" width="0" style="399" hidden="1" customWidth="1"/>
    <col min="3331" max="3331" width="52.140625" style="399" customWidth="1"/>
    <col min="3332" max="3332" width="17.28515625" style="399" customWidth="1"/>
    <col min="3333" max="3333" width="13.42578125" style="399" customWidth="1"/>
    <col min="3334" max="3334" width="13.85546875" style="399" customWidth="1"/>
    <col min="3335" max="3335" width="15.7109375" style="399" customWidth="1"/>
    <col min="3336" max="3336" width="16" style="399" customWidth="1"/>
    <col min="3337" max="3338" width="15.85546875" style="399" customWidth="1"/>
    <col min="3339" max="3339" width="14" style="399" customWidth="1"/>
    <col min="3340" max="3341" width="18.85546875" style="399" customWidth="1"/>
    <col min="3342" max="3342" width="16.7109375" style="399" customWidth="1"/>
    <col min="3343" max="3343" width="18" style="399" customWidth="1"/>
    <col min="3344" max="3352" width="9.140625" style="399"/>
    <col min="3353" max="3355" width="0" style="399" hidden="1" customWidth="1"/>
    <col min="3356" max="3584" width="9.140625" style="399"/>
    <col min="3585" max="3585" width="12.42578125" style="399" customWidth="1"/>
    <col min="3586" max="3586" width="0" style="399" hidden="1" customWidth="1"/>
    <col min="3587" max="3587" width="52.140625" style="399" customWidth="1"/>
    <col min="3588" max="3588" width="17.28515625" style="399" customWidth="1"/>
    <col min="3589" max="3589" width="13.42578125" style="399" customWidth="1"/>
    <col min="3590" max="3590" width="13.85546875" style="399" customWidth="1"/>
    <col min="3591" max="3591" width="15.7109375" style="399" customWidth="1"/>
    <col min="3592" max="3592" width="16" style="399" customWidth="1"/>
    <col min="3593" max="3594" width="15.85546875" style="399" customWidth="1"/>
    <col min="3595" max="3595" width="14" style="399" customWidth="1"/>
    <col min="3596" max="3597" width="18.85546875" style="399" customWidth="1"/>
    <col min="3598" max="3598" width="16.7109375" style="399" customWidth="1"/>
    <col min="3599" max="3599" width="18" style="399" customWidth="1"/>
    <col min="3600" max="3608" width="9.140625" style="399"/>
    <col min="3609" max="3611" width="0" style="399" hidden="1" customWidth="1"/>
    <col min="3612" max="3840" width="9.140625" style="399"/>
    <col min="3841" max="3841" width="12.42578125" style="399" customWidth="1"/>
    <col min="3842" max="3842" width="0" style="399" hidden="1" customWidth="1"/>
    <col min="3843" max="3843" width="52.140625" style="399" customWidth="1"/>
    <col min="3844" max="3844" width="17.28515625" style="399" customWidth="1"/>
    <col min="3845" max="3845" width="13.42578125" style="399" customWidth="1"/>
    <col min="3846" max="3846" width="13.85546875" style="399" customWidth="1"/>
    <col min="3847" max="3847" width="15.7109375" style="399" customWidth="1"/>
    <col min="3848" max="3848" width="16" style="399" customWidth="1"/>
    <col min="3849" max="3850" width="15.85546875" style="399" customWidth="1"/>
    <col min="3851" max="3851" width="14" style="399" customWidth="1"/>
    <col min="3852" max="3853" width="18.85546875" style="399" customWidth="1"/>
    <col min="3854" max="3854" width="16.7109375" style="399" customWidth="1"/>
    <col min="3855" max="3855" width="18" style="399" customWidth="1"/>
    <col min="3856" max="3864" width="9.140625" style="399"/>
    <col min="3865" max="3867" width="0" style="399" hidden="1" customWidth="1"/>
    <col min="3868" max="4096" width="9.140625" style="399"/>
    <col min="4097" max="4097" width="12.42578125" style="399" customWidth="1"/>
    <col min="4098" max="4098" width="0" style="399" hidden="1" customWidth="1"/>
    <col min="4099" max="4099" width="52.140625" style="399" customWidth="1"/>
    <col min="4100" max="4100" width="17.28515625" style="399" customWidth="1"/>
    <col min="4101" max="4101" width="13.42578125" style="399" customWidth="1"/>
    <col min="4102" max="4102" width="13.85546875" style="399" customWidth="1"/>
    <col min="4103" max="4103" width="15.7109375" style="399" customWidth="1"/>
    <col min="4104" max="4104" width="16" style="399" customWidth="1"/>
    <col min="4105" max="4106" width="15.85546875" style="399" customWidth="1"/>
    <col min="4107" max="4107" width="14" style="399" customWidth="1"/>
    <col min="4108" max="4109" width="18.85546875" style="399" customWidth="1"/>
    <col min="4110" max="4110" width="16.7109375" style="399" customWidth="1"/>
    <col min="4111" max="4111" width="18" style="399" customWidth="1"/>
    <col min="4112" max="4120" width="9.140625" style="399"/>
    <col min="4121" max="4123" width="0" style="399" hidden="1" customWidth="1"/>
    <col min="4124" max="4352" width="9.140625" style="399"/>
    <col min="4353" max="4353" width="12.42578125" style="399" customWidth="1"/>
    <col min="4354" max="4354" width="0" style="399" hidden="1" customWidth="1"/>
    <col min="4355" max="4355" width="52.140625" style="399" customWidth="1"/>
    <col min="4356" max="4356" width="17.28515625" style="399" customWidth="1"/>
    <col min="4357" max="4357" width="13.42578125" style="399" customWidth="1"/>
    <col min="4358" max="4358" width="13.85546875" style="399" customWidth="1"/>
    <col min="4359" max="4359" width="15.7109375" style="399" customWidth="1"/>
    <col min="4360" max="4360" width="16" style="399" customWidth="1"/>
    <col min="4361" max="4362" width="15.85546875" style="399" customWidth="1"/>
    <col min="4363" max="4363" width="14" style="399" customWidth="1"/>
    <col min="4364" max="4365" width="18.85546875" style="399" customWidth="1"/>
    <col min="4366" max="4366" width="16.7109375" style="399" customWidth="1"/>
    <col min="4367" max="4367" width="18" style="399" customWidth="1"/>
    <col min="4368" max="4376" width="9.140625" style="399"/>
    <col min="4377" max="4379" width="0" style="399" hidden="1" customWidth="1"/>
    <col min="4380" max="4608" width="9.140625" style="399"/>
    <col min="4609" max="4609" width="12.42578125" style="399" customWidth="1"/>
    <col min="4610" max="4610" width="0" style="399" hidden="1" customWidth="1"/>
    <col min="4611" max="4611" width="52.140625" style="399" customWidth="1"/>
    <col min="4612" max="4612" width="17.28515625" style="399" customWidth="1"/>
    <col min="4613" max="4613" width="13.42578125" style="399" customWidth="1"/>
    <col min="4614" max="4614" width="13.85546875" style="399" customWidth="1"/>
    <col min="4615" max="4615" width="15.7109375" style="399" customWidth="1"/>
    <col min="4616" max="4616" width="16" style="399" customWidth="1"/>
    <col min="4617" max="4618" width="15.85546875" style="399" customWidth="1"/>
    <col min="4619" max="4619" width="14" style="399" customWidth="1"/>
    <col min="4620" max="4621" width="18.85546875" style="399" customWidth="1"/>
    <col min="4622" max="4622" width="16.7109375" style="399" customWidth="1"/>
    <col min="4623" max="4623" width="18" style="399" customWidth="1"/>
    <col min="4624" max="4632" width="9.140625" style="399"/>
    <col min="4633" max="4635" width="0" style="399" hidden="1" customWidth="1"/>
    <col min="4636" max="4864" width="9.140625" style="399"/>
    <col min="4865" max="4865" width="12.42578125" style="399" customWidth="1"/>
    <col min="4866" max="4866" width="0" style="399" hidden="1" customWidth="1"/>
    <col min="4867" max="4867" width="52.140625" style="399" customWidth="1"/>
    <col min="4868" max="4868" width="17.28515625" style="399" customWidth="1"/>
    <col min="4869" max="4869" width="13.42578125" style="399" customWidth="1"/>
    <col min="4870" max="4870" width="13.85546875" style="399" customWidth="1"/>
    <col min="4871" max="4871" width="15.7109375" style="399" customWidth="1"/>
    <col min="4872" max="4872" width="16" style="399" customWidth="1"/>
    <col min="4873" max="4874" width="15.85546875" style="399" customWidth="1"/>
    <col min="4875" max="4875" width="14" style="399" customWidth="1"/>
    <col min="4876" max="4877" width="18.85546875" style="399" customWidth="1"/>
    <col min="4878" max="4878" width="16.7109375" style="399" customWidth="1"/>
    <col min="4879" max="4879" width="18" style="399" customWidth="1"/>
    <col min="4880" max="4888" width="9.140625" style="399"/>
    <col min="4889" max="4891" width="0" style="399" hidden="1" customWidth="1"/>
    <col min="4892" max="5120" width="9.140625" style="399"/>
    <col min="5121" max="5121" width="12.42578125" style="399" customWidth="1"/>
    <col min="5122" max="5122" width="0" style="399" hidden="1" customWidth="1"/>
    <col min="5123" max="5123" width="52.140625" style="399" customWidth="1"/>
    <col min="5124" max="5124" width="17.28515625" style="399" customWidth="1"/>
    <col min="5125" max="5125" width="13.42578125" style="399" customWidth="1"/>
    <col min="5126" max="5126" width="13.85546875" style="399" customWidth="1"/>
    <col min="5127" max="5127" width="15.7109375" style="399" customWidth="1"/>
    <col min="5128" max="5128" width="16" style="399" customWidth="1"/>
    <col min="5129" max="5130" width="15.85546875" style="399" customWidth="1"/>
    <col min="5131" max="5131" width="14" style="399" customWidth="1"/>
    <col min="5132" max="5133" width="18.85546875" style="399" customWidth="1"/>
    <col min="5134" max="5134" width="16.7109375" style="399" customWidth="1"/>
    <col min="5135" max="5135" width="18" style="399" customWidth="1"/>
    <col min="5136" max="5144" width="9.140625" style="399"/>
    <col min="5145" max="5147" width="0" style="399" hidden="1" customWidth="1"/>
    <col min="5148" max="5376" width="9.140625" style="399"/>
    <col min="5377" max="5377" width="12.42578125" style="399" customWidth="1"/>
    <col min="5378" max="5378" width="0" style="399" hidden="1" customWidth="1"/>
    <col min="5379" max="5379" width="52.140625" style="399" customWidth="1"/>
    <col min="5380" max="5380" width="17.28515625" style="399" customWidth="1"/>
    <col min="5381" max="5381" width="13.42578125" style="399" customWidth="1"/>
    <col min="5382" max="5382" width="13.85546875" style="399" customWidth="1"/>
    <col min="5383" max="5383" width="15.7109375" style="399" customWidth="1"/>
    <col min="5384" max="5384" width="16" style="399" customWidth="1"/>
    <col min="5385" max="5386" width="15.85546875" style="399" customWidth="1"/>
    <col min="5387" max="5387" width="14" style="399" customWidth="1"/>
    <col min="5388" max="5389" width="18.85546875" style="399" customWidth="1"/>
    <col min="5390" max="5390" width="16.7109375" style="399" customWidth="1"/>
    <col min="5391" max="5391" width="18" style="399" customWidth="1"/>
    <col min="5392" max="5400" width="9.140625" style="399"/>
    <col min="5401" max="5403" width="0" style="399" hidden="1" customWidth="1"/>
    <col min="5404" max="5632" width="9.140625" style="399"/>
    <col min="5633" max="5633" width="12.42578125" style="399" customWidth="1"/>
    <col min="5634" max="5634" width="0" style="399" hidden="1" customWidth="1"/>
    <col min="5635" max="5635" width="52.140625" style="399" customWidth="1"/>
    <col min="5636" max="5636" width="17.28515625" style="399" customWidth="1"/>
    <col min="5637" max="5637" width="13.42578125" style="399" customWidth="1"/>
    <col min="5638" max="5638" width="13.85546875" style="399" customWidth="1"/>
    <col min="5639" max="5639" width="15.7109375" style="399" customWidth="1"/>
    <col min="5640" max="5640" width="16" style="399" customWidth="1"/>
    <col min="5641" max="5642" width="15.85546875" style="399" customWidth="1"/>
    <col min="5643" max="5643" width="14" style="399" customWidth="1"/>
    <col min="5644" max="5645" width="18.85546875" style="399" customWidth="1"/>
    <col min="5646" max="5646" width="16.7109375" style="399" customWidth="1"/>
    <col min="5647" max="5647" width="18" style="399" customWidth="1"/>
    <col min="5648" max="5656" width="9.140625" style="399"/>
    <col min="5657" max="5659" width="0" style="399" hidden="1" customWidth="1"/>
    <col min="5660" max="5888" width="9.140625" style="399"/>
    <col min="5889" max="5889" width="12.42578125" style="399" customWidth="1"/>
    <col min="5890" max="5890" width="0" style="399" hidden="1" customWidth="1"/>
    <col min="5891" max="5891" width="52.140625" style="399" customWidth="1"/>
    <col min="5892" max="5892" width="17.28515625" style="399" customWidth="1"/>
    <col min="5893" max="5893" width="13.42578125" style="399" customWidth="1"/>
    <col min="5894" max="5894" width="13.85546875" style="399" customWidth="1"/>
    <col min="5895" max="5895" width="15.7109375" style="399" customWidth="1"/>
    <col min="5896" max="5896" width="16" style="399" customWidth="1"/>
    <col min="5897" max="5898" width="15.85546875" style="399" customWidth="1"/>
    <col min="5899" max="5899" width="14" style="399" customWidth="1"/>
    <col min="5900" max="5901" width="18.85546875" style="399" customWidth="1"/>
    <col min="5902" max="5902" width="16.7109375" style="399" customWidth="1"/>
    <col min="5903" max="5903" width="18" style="399" customWidth="1"/>
    <col min="5904" max="5912" width="9.140625" style="399"/>
    <col min="5913" max="5915" width="0" style="399" hidden="1" customWidth="1"/>
    <col min="5916" max="6144" width="9.140625" style="399"/>
    <col min="6145" max="6145" width="12.42578125" style="399" customWidth="1"/>
    <col min="6146" max="6146" width="0" style="399" hidden="1" customWidth="1"/>
    <col min="6147" max="6147" width="52.140625" style="399" customWidth="1"/>
    <col min="6148" max="6148" width="17.28515625" style="399" customWidth="1"/>
    <col min="6149" max="6149" width="13.42578125" style="399" customWidth="1"/>
    <col min="6150" max="6150" width="13.85546875" style="399" customWidth="1"/>
    <col min="6151" max="6151" width="15.7109375" style="399" customWidth="1"/>
    <col min="6152" max="6152" width="16" style="399" customWidth="1"/>
    <col min="6153" max="6154" width="15.85546875" style="399" customWidth="1"/>
    <col min="6155" max="6155" width="14" style="399" customWidth="1"/>
    <col min="6156" max="6157" width="18.85546875" style="399" customWidth="1"/>
    <col min="6158" max="6158" width="16.7109375" style="399" customWidth="1"/>
    <col min="6159" max="6159" width="18" style="399" customWidth="1"/>
    <col min="6160" max="6168" width="9.140625" style="399"/>
    <col min="6169" max="6171" width="0" style="399" hidden="1" customWidth="1"/>
    <col min="6172" max="6400" width="9.140625" style="399"/>
    <col min="6401" max="6401" width="12.42578125" style="399" customWidth="1"/>
    <col min="6402" max="6402" width="0" style="399" hidden="1" customWidth="1"/>
    <col min="6403" max="6403" width="52.140625" style="399" customWidth="1"/>
    <col min="6404" max="6404" width="17.28515625" style="399" customWidth="1"/>
    <col min="6405" max="6405" width="13.42578125" style="399" customWidth="1"/>
    <col min="6406" max="6406" width="13.85546875" style="399" customWidth="1"/>
    <col min="6407" max="6407" width="15.7109375" style="399" customWidth="1"/>
    <col min="6408" max="6408" width="16" style="399" customWidth="1"/>
    <col min="6409" max="6410" width="15.85546875" style="399" customWidth="1"/>
    <col min="6411" max="6411" width="14" style="399" customWidth="1"/>
    <col min="6412" max="6413" width="18.85546875" style="399" customWidth="1"/>
    <col min="6414" max="6414" width="16.7109375" style="399" customWidth="1"/>
    <col min="6415" max="6415" width="18" style="399" customWidth="1"/>
    <col min="6416" max="6424" width="9.140625" style="399"/>
    <col min="6425" max="6427" width="0" style="399" hidden="1" customWidth="1"/>
    <col min="6428" max="6656" width="9.140625" style="399"/>
    <col min="6657" max="6657" width="12.42578125" style="399" customWidth="1"/>
    <col min="6658" max="6658" width="0" style="399" hidden="1" customWidth="1"/>
    <col min="6659" max="6659" width="52.140625" style="399" customWidth="1"/>
    <col min="6660" max="6660" width="17.28515625" style="399" customWidth="1"/>
    <col min="6661" max="6661" width="13.42578125" style="399" customWidth="1"/>
    <col min="6662" max="6662" width="13.85546875" style="399" customWidth="1"/>
    <col min="6663" max="6663" width="15.7109375" style="399" customWidth="1"/>
    <col min="6664" max="6664" width="16" style="399" customWidth="1"/>
    <col min="6665" max="6666" width="15.85546875" style="399" customWidth="1"/>
    <col min="6667" max="6667" width="14" style="399" customWidth="1"/>
    <col min="6668" max="6669" width="18.85546875" style="399" customWidth="1"/>
    <col min="6670" max="6670" width="16.7109375" style="399" customWidth="1"/>
    <col min="6671" max="6671" width="18" style="399" customWidth="1"/>
    <col min="6672" max="6680" width="9.140625" style="399"/>
    <col min="6681" max="6683" width="0" style="399" hidden="1" customWidth="1"/>
    <col min="6684" max="6912" width="9.140625" style="399"/>
    <col min="6913" max="6913" width="12.42578125" style="399" customWidth="1"/>
    <col min="6914" max="6914" width="0" style="399" hidden="1" customWidth="1"/>
    <col min="6915" max="6915" width="52.140625" style="399" customWidth="1"/>
    <col min="6916" max="6916" width="17.28515625" style="399" customWidth="1"/>
    <col min="6917" max="6917" width="13.42578125" style="399" customWidth="1"/>
    <col min="6918" max="6918" width="13.85546875" style="399" customWidth="1"/>
    <col min="6919" max="6919" width="15.7109375" style="399" customWidth="1"/>
    <col min="6920" max="6920" width="16" style="399" customWidth="1"/>
    <col min="6921" max="6922" width="15.85546875" style="399" customWidth="1"/>
    <col min="6923" max="6923" width="14" style="399" customWidth="1"/>
    <col min="6924" max="6925" width="18.85546875" style="399" customWidth="1"/>
    <col min="6926" max="6926" width="16.7109375" style="399" customWidth="1"/>
    <col min="6927" max="6927" width="18" style="399" customWidth="1"/>
    <col min="6928" max="6936" width="9.140625" style="399"/>
    <col min="6937" max="6939" width="0" style="399" hidden="1" customWidth="1"/>
    <col min="6940" max="7168" width="9.140625" style="399"/>
    <col min="7169" max="7169" width="12.42578125" style="399" customWidth="1"/>
    <col min="7170" max="7170" width="0" style="399" hidden="1" customWidth="1"/>
    <col min="7171" max="7171" width="52.140625" style="399" customWidth="1"/>
    <col min="7172" max="7172" width="17.28515625" style="399" customWidth="1"/>
    <col min="7173" max="7173" width="13.42578125" style="399" customWidth="1"/>
    <col min="7174" max="7174" width="13.85546875" style="399" customWidth="1"/>
    <col min="7175" max="7175" width="15.7109375" style="399" customWidth="1"/>
    <col min="7176" max="7176" width="16" style="399" customWidth="1"/>
    <col min="7177" max="7178" width="15.85546875" style="399" customWidth="1"/>
    <col min="7179" max="7179" width="14" style="399" customWidth="1"/>
    <col min="7180" max="7181" width="18.85546875" style="399" customWidth="1"/>
    <col min="7182" max="7182" width="16.7109375" style="399" customWidth="1"/>
    <col min="7183" max="7183" width="18" style="399" customWidth="1"/>
    <col min="7184" max="7192" width="9.140625" style="399"/>
    <col min="7193" max="7195" width="0" style="399" hidden="1" customWidth="1"/>
    <col min="7196" max="7424" width="9.140625" style="399"/>
    <col min="7425" max="7425" width="12.42578125" style="399" customWidth="1"/>
    <col min="7426" max="7426" width="0" style="399" hidden="1" customWidth="1"/>
    <col min="7427" max="7427" width="52.140625" style="399" customWidth="1"/>
    <col min="7428" max="7428" width="17.28515625" style="399" customWidth="1"/>
    <col min="7429" max="7429" width="13.42578125" style="399" customWidth="1"/>
    <col min="7430" max="7430" width="13.85546875" style="399" customWidth="1"/>
    <col min="7431" max="7431" width="15.7109375" style="399" customWidth="1"/>
    <col min="7432" max="7432" width="16" style="399" customWidth="1"/>
    <col min="7433" max="7434" width="15.85546875" style="399" customWidth="1"/>
    <col min="7435" max="7435" width="14" style="399" customWidth="1"/>
    <col min="7436" max="7437" width="18.85546875" style="399" customWidth="1"/>
    <col min="7438" max="7438" width="16.7109375" style="399" customWidth="1"/>
    <col min="7439" max="7439" width="18" style="399" customWidth="1"/>
    <col min="7440" max="7448" width="9.140625" style="399"/>
    <col min="7449" max="7451" width="0" style="399" hidden="1" customWidth="1"/>
    <col min="7452" max="7680" width="9.140625" style="399"/>
    <col min="7681" max="7681" width="12.42578125" style="399" customWidth="1"/>
    <col min="7682" max="7682" width="0" style="399" hidden="1" customWidth="1"/>
    <col min="7683" max="7683" width="52.140625" style="399" customWidth="1"/>
    <col min="7684" max="7684" width="17.28515625" style="399" customWidth="1"/>
    <col min="7685" max="7685" width="13.42578125" style="399" customWidth="1"/>
    <col min="7686" max="7686" width="13.85546875" style="399" customWidth="1"/>
    <col min="7687" max="7687" width="15.7109375" style="399" customWidth="1"/>
    <col min="7688" max="7688" width="16" style="399" customWidth="1"/>
    <col min="7689" max="7690" width="15.85546875" style="399" customWidth="1"/>
    <col min="7691" max="7691" width="14" style="399" customWidth="1"/>
    <col min="7692" max="7693" width="18.85546875" style="399" customWidth="1"/>
    <col min="7694" max="7694" width="16.7109375" style="399" customWidth="1"/>
    <col min="7695" max="7695" width="18" style="399" customWidth="1"/>
    <col min="7696" max="7704" width="9.140625" style="399"/>
    <col min="7705" max="7707" width="0" style="399" hidden="1" customWidth="1"/>
    <col min="7708" max="7936" width="9.140625" style="399"/>
    <col min="7937" max="7937" width="12.42578125" style="399" customWidth="1"/>
    <col min="7938" max="7938" width="0" style="399" hidden="1" customWidth="1"/>
    <col min="7939" max="7939" width="52.140625" style="399" customWidth="1"/>
    <col min="7940" max="7940" width="17.28515625" style="399" customWidth="1"/>
    <col min="7941" max="7941" width="13.42578125" style="399" customWidth="1"/>
    <col min="7942" max="7942" width="13.85546875" style="399" customWidth="1"/>
    <col min="7943" max="7943" width="15.7109375" style="399" customWidth="1"/>
    <col min="7944" max="7944" width="16" style="399" customWidth="1"/>
    <col min="7945" max="7946" width="15.85546875" style="399" customWidth="1"/>
    <col min="7947" max="7947" width="14" style="399" customWidth="1"/>
    <col min="7948" max="7949" width="18.85546875" style="399" customWidth="1"/>
    <col min="7950" max="7950" width="16.7109375" style="399" customWidth="1"/>
    <col min="7951" max="7951" width="18" style="399" customWidth="1"/>
    <col min="7952" max="7960" width="9.140625" style="399"/>
    <col min="7961" max="7963" width="0" style="399" hidden="1" customWidth="1"/>
    <col min="7964" max="8192" width="9.140625" style="399"/>
    <col min="8193" max="8193" width="12.42578125" style="399" customWidth="1"/>
    <col min="8194" max="8194" width="0" style="399" hidden="1" customWidth="1"/>
    <col min="8195" max="8195" width="52.140625" style="399" customWidth="1"/>
    <col min="8196" max="8196" width="17.28515625" style="399" customWidth="1"/>
    <col min="8197" max="8197" width="13.42578125" style="399" customWidth="1"/>
    <col min="8198" max="8198" width="13.85546875" style="399" customWidth="1"/>
    <col min="8199" max="8199" width="15.7109375" style="399" customWidth="1"/>
    <col min="8200" max="8200" width="16" style="399" customWidth="1"/>
    <col min="8201" max="8202" width="15.85546875" style="399" customWidth="1"/>
    <col min="8203" max="8203" width="14" style="399" customWidth="1"/>
    <col min="8204" max="8205" width="18.85546875" style="399" customWidth="1"/>
    <col min="8206" max="8206" width="16.7109375" style="399" customWidth="1"/>
    <col min="8207" max="8207" width="18" style="399" customWidth="1"/>
    <col min="8208" max="8216" width="9.140625" style="399"/>
    <col min="8217" max="8219" width="0" style="399" hidden="1" customWidth="1"/>
    <col min="8220" max="8448" width="9.140625" style="399"/>
    <col min="8449" max="8449" width="12.42578125" style="399" customWidth="1"/>
    <col min="8450" max="8450" width="0" style="399" hidden="1" customWidth="1"/>
    <col min="8451" max="8451" width="52.140625" style="399" customWidth="1"/>
    <col min="8452" max="8452" width="17.28515625" style="399" customWidth="1"/>
    <col min="8453" max="8453" width="13.42578125" style="399" customWidth="1"/>
    <col min="8454" max="8454" width="13.85546875" style="399" customWidth="1"/>
    <col min="8455" max="8455" width="15.7109375" style="399" customWidth="1"/>
    <col min="8456" max="8456" width="16" style="399" customWidth="1"/>
    <col min="8457" max="8458" width="15.85546875" style="399" customWidth="1"/>
    <col min="8459" max="8459" width="14" style="399" customWidth="1"/>
    <col min="8460" max="8461" width="18.85546875" style="399" customWidth="1"/>
    <col min="8462" max="8462" width="16.7109375" style="399" customWidth="1"/>
    <col min="8463" max="8463" width="18" style="399" customWidth="1"/>
    <col min="8464" max="8472" width="9.140625" style="399"/>
    <col min="8473" max="8475" width="0" style="399" hidden="1" customWidth="1"/>
    <col min="8476" max="8704" width="9.140625" style="399"/>
    <col min="8705" max="8705" width="12.42578125" style="399" customWidth="1"/>
    <col min="8706" max="8706" width="0" style="399" hidden="1" customWidth="1"/>
    <col min="8707" max="8707" width="52.140625" style="399" customWidth="1"/>
    <col min="8708" max="8708" width="17.28515625" style="399" customWidth="1"/>
    <col min="8709" max="8709" width="13.42578125" style="399" customWidth="1"/>
    <col min="8710" max="8710" width="13.85546875" style="399" customWidth="1"/>
    <col min="8711" max="8711" width="15.7109375" style="399" customWidth="1"/>
    <col min="8712" max="8712" width="16" style="399" customWidth="1"/>
    <col min="8713" max="8714" width="15.85546875" style="399" customWidth="1"/>
    <col min="8715" max="8715" width="14" style="399" customWidth="1"/>
    <col min="8716" max="8717" width="18.85546875" style="399" customWidth="1"/>
    <col min="8718" max="8718" width="16.7109375" style="399" customWidth="1"/>
    <col min="8719" max="8719" width="18" style="399" customWidth="1"/>
    <col min="8720" max="8728" width="9.140625" style="399"/>
    <col min="8729" max="8731" width="0" style="399" hidden="1" customWidth="1"/>
    <col min="8732" max="8960" width="9.140625" style="399"/>
    <col min="8961" max="8961" width="12.42578125" style="399" customWidth="1"/>
    <col min="8962" max="8962" width="0" style="399" hidden="1" customWidth="1"/>
    <col min="8963" max="8963" width="52.140625" style="399" customWidth="1"/>
    <col min="8964" max="8964" width="17.28515625" style="399" customWidth="1"/>
    <col min="8965" max="8965" width="13.42578125" style="399" customWidth="1"/>
    <col min="8966" max="8966" width="13.85546875" style="399" customWidth="1"/>
    <col min="8967" max="8967" width="15.7109375" style="399" customWidth="1"/>
    <col min="8968" max="8968" width="16" style="399" customWidth="1"/>
    <col min="8969" max="8970" width="15.85546875" style="399" customWidth="1"/>
    <col min="8971" max="8971" width="14" style="399" customWidth="1"/>
    <col min="8972" max="8973" width="18.85546875" style="399" customWidth="1"/>
    <col min="8974" max="8974" width="16.7109375" style="399" customWidth="1"/>
    <col min="8975" max="8975" width="18" style="399" customWidth="1"/>
    <col min="8976" max="8984" width="9.140625" style="399"/>
    <col min="8985" max="8987" width="0" style="399" hidden="1" customWidth="1"/>
    <col min="8988" max="9216" width="9.140625" style="399"/>
    <col min="9217" max="9217" width="12.42578125" style="399" customWidth="1"/>
    <col min="9218" max="9218" width="0" style="399" hidden="1" customWidth="1"/>
    <col min="9219" max="9219" width="52.140625" style="399" customWidth="1"/>
    <col min="9220" max="9220" width="17.28515625" style="399" customWidth="1"/>
    <col min="9221" max="9221" width="13.42578125" style="399" customWidth="1"/>
    <col min="9222" max="9222" width="13.85546875" style="399" customWidth="1"/>
    <col min="9223" max="9223" width="15.7109375" style="399" customWidth="1"/>
    <col min="9224" max="9224" width="16" style="399" customWidth="1"/>
    <col min="9225" max="9226" width="15.85546875" style="399" customWidth="1"/>
    <col min="9227" max="9227" width="14" style="399" customWidth="1"/>
    <col min="9228" max="9229" width="18.85546875" style="399" customWidth="1"/>
    <col min="9230" max="9230" width="16.7109375" style="399" customWidth="1"/>
    <col min="9231" max="9231" width="18" style="399" customWidth="1"/>
    <col min="9232" max="9240" width="9.140625" style="399"/>
    <col min="9241" max="9243" width="0" style="399" hidden="1" customWidth="1"/>
    <col min="9244" max="9472" width="9.140625" style="399"/>
    <col min="9473" max="9473" width="12.42578125" style="399" customWidth="1"/>
    <col min="9474" max="9474" width="0" style="399" hidden="1" customWidth="1"/>
    <col min="9475" max="9475" width="52.140625" style="399" customWidth="1"/>
    <col min="9476" max="9476" width="17.28515625" style="399" customWidth="1"/>
    <col min="9477" max="9477" width="13.42578125" style="399" customWidth="1"/>
    <col min="9478" max="9478" width="13.85546875" style="399" customWidth="1"/>
    <col min="9479" max="9479" width="15.7109375" style="399" customWidth="1"/>
    <col min="9480" max="9480" width="16" style="399" customWidth="1"/>
    <col min="9481" max="9482" width="15.85546875" style="399" customWidth="1"/>
    <col min="9483" max="9483" width="14" style="399" customWidth="1"/>
    <col min="9484" max="9485" width="18.85546875" style="399" customWidth="1"/>
    <col min="9486" max="9486" width="16.7109375" style="399" customWidth="1"/>
    <col min="9487" max="9487" width="18" style="399" customWidth="1"/>
    <col min="9488" max="9496" width="9.140625" style="399"/>
    <col min="9497" max="9499" width="0" style="399" hidden="1" customWidth="1"/>
    <col min="9500" max="9728" width="9.140625" style="399"/>
    <col min="9729" max="9729" width="12.42578125" style="399" customWidth="1"/>
    <col min="9730" max="9730" width="0" style="399" hidden="1" customWidth="1"/>
    <col min="9731" max="9731" width="52.140625" style="399" customWidth="1"/>
    <col min="9732" max="9732" width="17.28515625" style="399" customWidth="1"/>
    <col min="9733" max="9733" width="13.42578125" style="399" customWidth="1"/>
    <col min="9734" max="9734" width="13.85546875" style="399" customWidth="1"/>
    <col min="9735" max="9735" width="15.7109375" style="399" customWidth="1"/>
    <col min="9736" max="9736" width="16" style="399" customWidth="1"/>
    <col min="9737" max="9738" width="15.85546875" style="399" customWidth="1"/>
    <col min="9739" max="9739" width="14" style="399" customWidth="1"/>
    <col min="9740" max="9741" width="18.85546875" style="399" customWidth="1"/>
    <col min="9742" max="9742" width="16.7109375" style="399" customWidth="1"/>
    <col min="9743" max="9743" width="18" style="399" customWidth="1"/>
    <col min="9744" max="9752" width="9.140625" style="399"/>
    <col min="9753" max="9755" width="0" style="399" hidden="1" customWidth="1"/>
    <col min="9756" max="9984" width="9.140625" style="399"/>
    <col min="9985" max="9985" width="12.42578125" style="399" customWidth="1"/>
    <col min="9986" max="9986" width="0" style="399" hidden="1" customWidth="1"/>
    <col min="9987" max="9987" width="52.140625" style="399" customWidth="1"/>
    <col min="9988" max="9988" width="17.28515625" style="399" customWidth="1"/>
    <col min="9989" max="9989" width="13.42578125" style="399" customWidth="1"/>
    <col min="9990" max="9990" width="13.85546875" style="399" customWidth="1"/>
    <col min="9991" max="9991" width="15.7109375" style="399" customWidth="1"/>
    <col min="9992" max="9992" width="16" style="399" customWidth="1"/>
    <col min="9993" max="9994" width="15.85546875" style="399" customWidth="1"/>
    <col min="9995" max="9995" width="14" style="399" customWidth="1"/>
    <col min="9996" max="9997" width="18.85546875" style="399" customWidth="1"/>
    <col min="9998" max="9998" width="16.7109375" style="399" customWidth="1"/>
    <col min="9999" max="9999" width="18" style="399" customWidth="1"/>
    <col min="10000" max="10008" width="9.140625" style="399"/>
    <col min="10009" max="10011" width="0" style="399" hidden="1" customWidth="1"/>
    <col min="10012" max="10240" width="9.140625" style="399"/>
    <col min="10241" max="10241" width="12.42578125" style="399" customWidth="1"/>
    <col min="10242" max="10242" width="0" style="399" hidden="1" customWidth="1"/>
    <col min="10243" max="10243" width="52.140625" style="399" customWidth="1"/>
    <col min="10244" max="10244" width="17.28515625" style="399" customWidth="1"/>
    <col min="10245" max="10245" width="13.42578125" style="399" customWidth="1"/>
    <col min="10246" max="10246" width="13.85546875" style="399" customWidth="1"/>
    <col min="10247" max="10247" width="15.7109375" style="399" customWidth="1"/>
    <col min="10248" max="10248" width="16" style="399" customWidth="1"/>
    <col min="10249" max="10250" width="15.85546875" style="399" customWidth="1"/>
    <col min="10251" max="10251" width="14" style="399" customWidth="1"/>
    <col min="10252" max="10253" width="18.85546875" style="399" customWidth="1"/>
    <col min="10254" max="10254" width="16.7109375" style="399" customWidth="1"/>
    <col min="10255" max="10255" width="18" style="399" customWidth="1"/>
    <col min="10256" max="10264" width="9.140625" style="399"/>
    <col min="10265" max="10267" width="0" style="399" hidden="1" customWidth="1"/>
    <col min="10268" max="10496" width="9.140625" style="399"/>
    <col min="10497" max="10497" width="12.42578125" style="399" customWidth="1"/>
    <col min="10498" max="10498" width="0" style="399" hidden="1" customWidth="1"/>
    <col min="10499" max="10499" width="52.140625" style="399" customWidth="1"/>
    <col min="10500" max="10500" width="17.28515625" style="399" customWidth="1"/>
    <col min="10501" max="10501" width="13.42578125" style="399" customWidth="1"/>
    <col min="10502" max="10502" width="13.85546875" style="399" customWidth="1"/>
    <col min="10503" max="10503" width="15.7109375" style="399" customWidth="1"/>
    <col min="10504" max="10504" width="16" style="399" customWidth="1"/>
    <col min="10505" max="10506" width="15.85546875" style="399" customWidth="1"/>
    <col min="10507" max="10507" width="14" style="399" customWidth="1"/>
    <col min="10508" max="10509" width="18.85546875" style="399" customWidth="1"/>
    <col min="10510" max="10510" width="16.7109375" style="399" customWidth="1"/>
    <col min="10511" max="10511" width="18" style="399" customWidth="1"/>
    <col min="10512" max="10520" width="9.140625" style="399"/>
    <col min="10521" max="10523" width="0" style="399" hidden="1" customWidth="1"/>
    <col min="10524" max="10752" width="9.140625" style="399"/>
    <col min="10753" max="10753" width="12.42578125" style="399" customWidth="1"/>
    <col min="10754" max="10754" width="0" style="399" hidden="1" customWidth="1"/>
    <col min="10755" max="10755" width="52.140625" style="399" customWidth="1"/>
    <col min="10756" max="10756" width="17.28515625" style="399" customWidth="1"/>
    <col min="10757" max="10757" width="13.42578125" style="399" customWidth="1"/>
    <col min="10758" max="10758" width="13.85546875" style="399" customWidth="1"/>
    <col min="10759" max="10759" width="15.7109375" style="399" customWidth="1"/>
    <col min="10760" max="10760" width="16" style="399" customWidth="1"/>
    <col min="10761" max="10762" width="15.85546875" style="399" customWidth="1"/>
    <col min="10763" max="10763" width="14" style="399" customWidth="1"/>
    <col min="10764" max="10765" width="18.85546875" style="399" customWidth="1"/>
    <col min="10766" max="10766" width="16.7109375" style="399" customWidth="1"/>
    <col min="10767" max="10767" width="18" style="399" customWidth="1"/>
    <col min="10768" max="10776" width="9.140625" style="399"/>
    <col min="10777" max="10779" width="0" style="399" hidden="1" customWidth="1"/>
    <col min="10780" max="11008" width="9.140625" style="399"/>
    <col min="11009" max="11009" width="12.42578125" style="399" customWidth="1"/>
    <col min="11010" max="11010" width="0" style="399" hidden="1" customWidth="1"/>
    <col min="11011" max="11011" width="52.140625" style="399" customWidth="1"/>
    <col min="11012" max="11012" width="17.28515625" style="399" customWidth="1"/>
    <col min="11013" max="11013" width="13.42578125" style="399" customWidth="1"/>
    <col min="11014" max="11014" width="13.85546875" style="399" customWidth="1"/>
    <col min="11015" max="11015" width="15.7109375" style="399" customWidth="1"/>
    <col min="11016" max="11016" width="16" style="399" customWidth="1"/>
    <col min="11017" max="11018" width="15.85546875" style="399" customWidth="1"/>
    <col min="11019" max="11019" width="14" style="399" customWidth="1"/>
    <col min="11020" max="11021" width="18.85546875" style="399" customWidth="1"/>
    <col min="11022" max="11022" width="16.7109375" style="399" customWidth="1"/>
    <col min="11023" max="11023" width="18" style="399" customWidth="1"/>
    <col min="11024" max="11032" width="9.140625" style="399"/>
    <col min="11033" max="11035" width="0" style="399" hidden="1" customWidth="1"/>
    <col min="11036" max="11264" width="9.140625" style="399"/>
    <col min="11265" max="11265" width="12.42578125" style="399" customWidth="1"/>
    <col min="11266" max="11266" width="0" style="399" hidden="1" customWidth="1"/>
    <col min="11267" max="11267" width="52.140625" style="399" customWidth="1"/>
    <col min="11268" max="11268" width="17.28515625" style="399" customWidth="1"/>
    <col min="11269" max="11269" width="13.42578125" style="399" customWidth="1"/>
    <col min="11270" max="11270" width="13.85546875" style="399" customWidth="1"/>
    <col min="11271" max="11271" width="15.7109375" style="399" customWidth="1"/>
    <col min="11272" max="11272" width="16" style="399" customWidth="1"/>
    <col min="11273" max="11274" width="15.85546875" style="399" customWidth="1"/>
    <col min="11275" max="11275" width="14" style="399" customWidth="1"/>
    <col min="11276" max="11277" width="18.85546875" style="399" customWidth="1"/>
    <col min="11278" max="11278" width="16.7109375" style="399" customWidth="1"/>
    <col min="11279" max="11279" width="18" style="399" customWidth="1"/>
    <col min="11280" max="11288" width="9.140625" style="399"/>
    <col min="11289" max="11291" width="0" style="399" hidden="1" customWidth="1"/>
    <col min="11292" max="11520" width="9.140625" style="399"/>
    <col min="11521" max="11521" width="12.42578125" style="399" customWidth="1"/>
    <col min="11522" max="11522" width="0" style="399" hidden="1" customWidth="1"/>
    <col min="11523" max="11523" width="52.140625" style="399" customWidth="1"/>
    <col min="11524" max="11524" width="17.28515625" style="399" customWidth="1"/>
    <col min="11525" max="11525" width="13.42578125" style="399" customWidth="1"/>
    <col min="11526" max="11526" width="13.85546875" style="399" customWidth="1"/>
    <col min="11527" max="11527" width="15.7109375" style="399" customWidth="1"/>
    <col min="11528" max="11528" width="16" style="399" customWidth="1"/>
    <col min="11529" max="11530" width="15.85546875" style="399" customWidth="1"/>
    <col min="11531" max="11531" width="14" style="399" customWidth="1"/>
    <col min="11532" max="11533" width="18.85546875" style="399" customWidth="1"/>
    <col min="11534" max="11534" width="16.7109375" style="399" customWidth="1"/>
    <col min="11535" max="11535" width="18" style="399" customWidth="1"/>
    <col min="11536" max="11544" width="9.140625" style="399"/>
    <col min="11545" max="11547" width="0" style="399" hidden="1" customWidth="1"/>
    <col min="11548" max="11776" width="9.140625" style="399"/>
    <col min="11777" max="11777" width="12.42578125" style="399" customWidth="1"/>
    <col min="11778" max="11778" width="0" style="399" hidden="1" customWidth="1"/>
    <col min="11779" max="11779" width="52.140625" style="399" customWidth="1"/>
    <col min="11780" max="11780" width="17.28515625" style="399" customWidth="1"/>
    <col min="11781" max="11781" width="13.42578125" style="399" customWidth="1"/>
    <col min="11782" max="11782" width="13.85546875" style="399" customWidth="1"/>
    <col min="11783" max="11783" width="15.7109375" style="399" customWidth="1"/>
    <col min="11784" max="11784" width="16" style="399" customWidth="1"/>
    <col min="11785" max="11786" width="15.85546875" style="399" customWidth="1"/>
    <col min="11787" max="11787" width="14" style="399" customWidth="1"/>
    <col min="11788" max="11789" width="18.85546875" style="399" customWidth="1"/>
    <col min="11790" max="11790" width="16.7109375" style="399" customWidth="1"/>
    <col min="11791" max="11791" width="18" style="399" customWidth="1"/>
    <col min="11792" max="11800" width="9.140625" style="399"/>
    <col min="11801" max="11803" width="0" style="399" hidden="1" customWidth="1"/>
    <col min="11804" max="12032" width="9.140625" style="399"/>
    <col min="12033" max="12033" width="12.42578125" style="399" customWidth="1"/>
    <col min="12034" max="12034" width="0" style="399" hidden="1" customWidth="1"/>
    <col min="12035" max="12035" width="52.140625" style="399" customWidth="1"/>
    <col min="12036" max="12036" width="17.28515625" style="399" customWidth="1"/>
    <col min="12037" max="12037" width="13.42578125" style="399" customWidth="1"/>
    <col min="12038" max="12038" width="13.85546875" style="399" customWidth="1"/>
    <col min="12039" max="12039" width="15.7109375" style="399" customWidth="1"/>
    <col min="12040" max="12040" width="16" style="399" customWidth="1"/>
    <col min="12041" max="12042" width="15.85546875" style="399" customWidth="1"/>
    <col min="12043" max="12043" width="14" style="399" customWidth="1"/>
    <col min="12044" max="12045" width="18.85546875" style="399" customWidth="1"/>
    <col min="12046" max="12046" width="16.7109375" style="399" customWidth="1"/>
    <col min="12047" max="12047" width="18" style="399" customWidth="1"/>
    <col min="12048" max="12056" width="9.140625" style="399"/>
    <col min="12057" max="12059" width="0" style="399" hidden="1" customWidth="1"/>
    <col min="12060" max="12288" width="9.140625" style="399"/>
    <col min="12289" max="12289" width="12.42578125" style="399" customWidth="1"/>
    <col min="12290" max="12290" width="0" style="399" hidden="1" customWidth="1"/>
    <col min="12291" max="12291" width="52.140625" style="399" customWidth="1"/>
    <col min="12292" max="12292" width="17.28515625" style="399" customWidth="1"/>
    <col min="12293" max="12293" width="13.42578125" style="399" customWidth="1"/>
    <col min="12294" max="12294" width="13.85546875" style="399" customWidth="1"/>
    <col min="12295" max="12295" width="15.7109375" style="399" customWidth="1"/>
    <col min="12296" max="12296" width="16" style="399" customWidth="1"/>
    <col min="12297" max="12298" width="15.85546875" style="399" customWidth="1"/>
    <col min="12299" max="12299" width="14" style="399" customWidth="1"/>
    <col min="12300" max="12301" width="18.85546875" style="399" customWidth="1"/>
    <col min="12302" max="12302" width="16.7109375" style="399" customWidth="1"/>
    <col min="12303" max="12303" width="18" style="399" customWidth="1"/>
    <col min="12304" max="12312" width="9.140625" style="399"/>
    <col min="12313" max="12315" width="0" style="399" hidden="1" customWidth="1"/>
    <col min="12316" max="12544" width="9.140625" style="399"/>
    <col min="12545" max="12545" width="12.42578125" style="399" customWidth="1"/>
    <col min="12546" max="12546" width="0" style="399" hidden="1" customWidth="1"/>
    <col min="12547" max="12547" width="52.140625" style="399" customWidth="1"/>
    <col min="12548" max="12548" width="17.28515625" style="399" customWidth="1"/>
    <col min="12549" max="12549" width="13.42578125" style="399" customWidth="1"/>
    <col min="12550" max="12550" width="13.85546875" style="399" customWidth="1"/>
    <col min="12551" max="12551" width="15.7109375" style="399" customWidth="1"/>
    <col min="12552" max="12552" width="16" style="399" customWidth="1"/>
    <col min="12553" max="12554" width="15.85546875" style="399" customWidth="1"/>
    <col min="12555" max="12555" width="14" style="399" customWidth="1"/>
    <col min="12556" max="12557" width="18.85546875" style="399" customWidth="1"/>
    <col min="12558" max="12558" width="16.7109375" style="399" customWidth="1"/>
    <col min="12559" max="12559" width="18" style="399" customWidth="1"/>
    <col min="12560" max="12568" width="9.140625" style="399"/>
    <col min="12569" max="12571" width="0" style="399" hidden="1" customWidth="1"/>
    <col min="12572" max="12800" width="9.140625" style="399"/>
    <col min="12801" max="12801" width="12.42578125" style="399" customWidth="1"/>
    <col min="12802" max="12802" width="0" style="399" hidden="1" customWidth="1"/>
    <col min="12803" max="12803" width="52.140625" style="399" customWidth="1"/>
    <col min="12804" max="12804" width="17.28515625" style="399" customWidth="1"/>
    <col min="12805" max="12805" width="13.42578125" style="399" customWidth="1"/>
    <col min="12806" max="12806" width="13.85546875" style="399" customWidth="1"/>
    <col min="12807" max="12807" width="15.7109375" style="399" customWidth="1"/>
    <col min="12808" max="12808" width="16" style="399" customWidth="1"/>
    <col min="12809" max="12810" width="15.85546875" style="399" customWidth="1"/>
    <col min="12811" max="12811" width="14" style="399" customWidth="1"/>
    <col min="12812" max="12813" width="18.85546875" style="399" customWidth="1"/>
    <col min="12814" max="12814" width="16.7109375" style="399" customWidth="1"/>
    <col min="12815" max="12815" width="18" style="399" customWidth="1"/>
    <col min="12816" max="12824" width="9.140625" style="399"/>
    <col min="12825" max="12827" width="0" style="399" hidden="1" customWidth="1"/>
    <col min="12828" max="13056" width="9.140625" style="399"/>
    <col min="13057" max="13057" width="12.42578125" style="399" customWidth="1"/>
    <col min="13058" max="13058" width="0" style="399" hidden="1" customWidth="1"/>
    <col min="13059" max="13059" width="52.140625" style="399" customWidth="1"/>
    <col min="13060" max="13060" width="17.28515625" style="399" customWidth="1"/>
    <col min="13061" max="13061" width="13.42578125" style="399" customWidth="1"/>
    <col min="13062" max="13062" width="13.85546875" style="399" customWidth="1"/>
    <col min="13063" max="13063" width="15.7109375" style="399" customWidth="1"/>
    <col min="13064" max="13064" width="16" style="399" customWidth="1"/>
    <col min="13065" max="13066" width="15.85546875" style="399" customWidth="1"/>
    <col min="13067" max="13067" width="14" style="399" customWidth="1"/>
    <col min="13068" max="13069" width="18.85546875" style="399" customWidth="1"/>
    <col min="13070" max="13070" width="16.7109375" style="399" customWidth="1"/>
    <col min="13071" max="13071" width="18" style="399" customWidth="1"/>
    <col min="13072" max="13080" width="9.140625" style="399"/>
    <col min="13081" max="13083" width="0" style="399" hidden="1" customWidth="1"/>
    <col min="13084" max="13312" width="9.140625" style="399"/>
    <col min="13313" max="13313" width="12.42578125" style="399" customWidth="1"/>
    <col min="13314" max="13314" width="0" style="399" hidden="1" customWidth="1"/>
    <col min="13315" max="13315" width="52.140625" style="399" customWidth="1"/>
    <col min="13316" max="13316" width="17.28515625" style="399" customWidth="1"/>
    <col min="13317" max="13317" width="13.42578125" style="399" customWidth="1"/>
    <col min="13318" max="13318" width="13.85546875" style="399" customWidth="1"/>
    <col min="13319" max="13319" width="15.7109375" style="399" customWidth="1"/>
    <col min="13320" max="13320" width="16" style="399" customWidth="1"/>
    <col min="13321" max="13322" width="15.85546875" style="399" customWidth="1"/>
    <col min="13323" max="13323" width="14" style="399" customWidth="1"/>
    <col min="13324" max="13325" width="18.85546875" style="399" customWidth="1"/>
    <col min="13326" max="13326" width="16.7109375" style="399" customWidth="1"/>
    <col min="13327" max="13327" width="18" style="399" customWidth="1"/>
    <col min="13328" max="13336" width="9.140625" style="399"/>
    <col min="13337" max="13339" width="0" style="399" hidden="1" customWidth="1"/>
    <col min="13340" max="13568" width="9.140625" style="399"/>
    <col min="13569" max="13569" width="12.42578125" style="399" customWidth="1"/>
    <col min="13570" max="13570" width="0" style="399" hidden="1" customWidth="1"/>
    <col min="13571" max="13571" width="52.140625" style="399" customWidth="1"/>
    <col min="13572" max="13572" width="17.28515625" style="399" customWidth="1"/>
    <col min="13573" max="13573" width="13.42578125" style="399" customWidth="1"/>
    <col min="13574" max="13574" width="13.85546875" style="399" customWidth="1"/>
    <col min="13575" max="13575" width="15.7109375" style="399" customWidth="1"/>
    <col min="13576" max="13576" width="16" style="399" customWidth="1"/>
    <col min="13577" max="13578" width="15.85546875" style="399" customWidth="1"/>
    <col min="13579" max="13579" width="14" style="399" customWidth="1"/>
    <col min="13580" max="13581" width="18.85546875" style="399" customWidth="1"/>
    <col min="13582" max="13582" width="16.7109375" style="399" customWidth="1"/>
    <col min="13583" max="13583" width="18" style="399" customWidth="1"/>
    <col min="13584" max="13592" width="9.140625" style="399"/>
    <col min="13593" max="13595" width="0" style="399" hidden="1" customWidth="1"/>
    <col min="13596" max="13824" width="9.140625" style="399"/>
    <col min="13825" max="13825" width="12.42578125" style="399" customWidth="1"/>
    <col min="13826" max="13826" width="0" style="399" hidden="1" customWidth="1"/>
    <col min="13827" max="13827" width="52.140625" style="399" customWidth="1"/>
    <col min="13828" max="13828" width="17.28515625" style="399" customWidth="1"/>
    <col min="13829" max="13829" width="13.42578125" style="399" customWidth="1"/>
    <col min="13830" max="13830" width="13.85546875" style="399" customWidth="1"/>
    <col min="13831" max="13831" width="15.7109375" style="399" customWidth="1"/>
    <col min="13832" max="13832" width="16" style="399" customWidth="1"/>
    <col min="13833" max="13834" width="15.85546875" style="399" customWidth="1"/>
    <col min="13835" max="13835" width="14" style="399" customWidth="1"/>
    <col min="13836" max="13837" width="18.85546875" style="399" customWidth="1"/>
    <col min="13838" max="13838" width="16.7109375" style="399" customWidth="1"/>
    <col min="13839" max="13839" width="18" style="399" customWidth="1"/>
    <col min="13840" max="13848" width="9.140625" style="399"/>
    <col min="13849" max="13851" width="0" style="399" hidden="1" customWidth="1"/>
    <col min="13852" max="14080" width="9.140625" style="399"/>
    <col min="14081" max="14081" width="12.42578125" style="399" customWidth="1"/>
    <col min="14082" max="14082" width="0" style="399" hidden="1" customWidth="1"/>
    <col min="14083" max="14083" width="52.140625" style="399" customWidth="1"/>
    <col min="14084" max="14084" width="17.28515625" style="399" customWidth="1"/>
    <col min="14085" max="14085" width="13.42578125" style="399" customWidth="1"/>
    <col min="14086" max="14086" width="13.85546875" style="399" customWidth="1"/>
    <col min="14087" max="14087" width="15.7109375" style="399" customWidth="1"/>
    <col min="14088" max="14088" width="16" style="399" customWidth="1"/>
    <col min="14089" max="14090" width="15.85546875" style="399" customWidth="1"/>
    <col min="14091" max="14091" width="14" style="399" customWidth="1"/>
    <col min="14092" max="14093" width="18.85546875" style="399" customWidth="1"/>
    <col min="14094" max="14094" width="16.7109375" style="399" customWidth="1"/>
    <col min="14095" max="14095" width="18" style="399" customWidth="1"/>
    <col min="14096" max="14104" width="9.140625" style="399"/>
    <col min="14105" max="14107" width="0" style="399" hidden="1" customWidth="1"/>
    <col min="14108" max="14336" width="9.140625" style="399"/>
    <col min="14337" max="14337" width="12.42578125" style="399" customWidth="1"/>
    <col min="14338" max="14338" width="0" style="399" hidden="1" customWidth="1"/>
    <col min="14339" max="14339" width="52.140625" style="399" customWidth="1"/>
    <col min="14340" max="14340" width="17.28515625" style="399" customWidth="1"/>
    <col min="14341" max="14341" width="13.42578125" style="399" customWidth="1"/>
    <col min="14342" max="14342" width="13.85546875" style="399" customWidth="1"/>
    <col min="14343" max="14343" width="15.7109375" style="399" customWidth="1"/>
    <col min="14344" max="14344" width="16" style="399" customWidth="1"/>
    <col min="14345" max="14346" width="15.85546875" style="399" customWidth="1"/>
    <col min="14347" max="14347" width="14" style="399" customWidth="1"/>
    <col min="14348" max="14349" width="18.85546875" style="399" customWidth="1"/>
    <col min="14350" max="14350" width="16.7109375" style="399" customWidth="1"/>
    <col min="14351" max="14351" width="18" style="399" customWidth="1"/>
    <col min="14352" max="14360" width="9.140625" style="399"/>
    <col min="14361" max="14363" width="0" style="399" hidden="1" customWidth="1"/>
    <col min="14364" max="14592" width="9.140625" style="399"/>
    <col min="14593" max="14593" width="12.42578125" style="399" customWidth="1"/>
    <col min="14594" max="14594" width="0" style="399" hidden="1" customWidth="1"/>
    <col min="14595" max="14595" width="52.140625" style="399" customWidth="1"/>
    <col min="14596" max="14596" width="17.28515625" style="399" customWidth="1"/>
    <col min="14597" max="14597" width="13.42578125" style="399" customWidth="1"/>
    <col min="14598" max="14598" width="13.85546875" style="399" customWidth="1"/>
    <col min="14599" max="14599" width="15.7109375" style="399" customWidth="1"/>
    <col min="14600" max="14600" width="16" style="399" customWidth="1"/>
    <col min="14601" max="14602" width="15.85546875" style="399" customWidth="1"/>
    <col min="14603" max="14603" width="14" style="399" customWidth="1"/>
    <col min="14604" max="14605" width="18.85546875" style="399" customWidth="1"/>
    <col min="14606" max="14606" width="16.7109375" style="399" customWidth="1"/>
    <col min="14607" max="14607" width="18" style="399" customWidth="1"/>
    <col min="14608" max="14616" width="9.140625" style="399"/>
    <col min="14617" max="14619" width="0" style="399" hidden="1" customWidth="1"/>
    <col min="14620" max="14848" width="9.140625" style="399"/>
    <col min="14849" max="14849" width="12.42578125" style="399" customWidth="1"/>
    <col min="14850" max="14850" width="0" style="399" hidden="1" customWidth="1"/>
    <col min="14851" max="14851" width="52.140625" style="399" customWidth="1"/>
    <col min="14852" max="14852" width="17.28515625" style="399" customWidth="1"/>
    <col min="14853" max="14853" width="13.42578125" style="399" customWidth="1"/>
    <col min="14854" max="14854" width="13.85546875" style="399" customWidth="1"/>
    <col min="14855" max="14855" width="15.7109375" style="399" customWidth="1"/>
    <col min="14856" max="14856" width="16" style="399" customWidth="1"/>
    <col min="14857" max="14858" width="15.85546875" style="399" customWidth="1"/>
    <col min="14859" max="14859" width="14" style="399" customWidth="1"/>
    <col min="14860" max="14861" width="18.85546875" style="399" customWidth="1"/>
    <col min="14862" max="14862" width="16.7109375" style="399" customWidth="1"/>
    <col min="14863" max="14863" width="18" style="399" customWidth="1"/>
    <col min="14864" max="14872" width="9.140625" style="399"/>
    <col min="14873" max="14875" width="0" style="399" hidden="1" customWidth="1"/>
    <col min="14876" max="15104" width="9.140625" style="399"/>
    <col min="15105" max="15105" width="12.42578125" style="399" customWidth="1"/>
    <col min="15106" max="15106" width="0" style="399" hidden="1" customWidth="1"/>
    <col min="15107" max="15107" width="52.140625" style="399" customWidth="1"/>
    <col min="15108" max="15108" width="17.28515625" style="399" customWidth="1"/>
    <col min="15109" max="15109" width="13.42578125" style="399" customWidth="1"/>
    <col min="15110" max="15110" width="13.85546875" style="399" customWidth="1"/>
    <col min="15111" max="15111" width="15.7109375" style="399" customWidth="1"/>
    <col min="15112" max="15112" width="16" style="399" customWidth="1"/>
    <col min="15113" max="15114" width="15.85546875" style="399" customWidth="1"/>
    <col min="15115" max="15115" width="14" style="399" customWidth="1"/>
    <col min="15116" max="15117" width="18.85546875" style="399" customWidth="1"/>
    <col min="15118" max="15118" width="16.7109375" style="399" customWidth="1"/>
    <col min="15119" max="15119" width="18" style="399" customWidth="1"/>
    <col min="15120" max="15128" width="9.140625" style="399"/>
    <col min="15129" max="15131" width="0" style="399" hidden="1" customWidth="1"/>
    <col min="15132" max="15360" width="9.140625" style="399"/>
    <col min="15361" max="15361" width="12.42578125" style="399" customWidth="1"/>
    <col min="15362" max="15362" width="0" style="399" hidden="1" customWidth="1"/>
    <col min="15363" max="15363" width="52.140625" style="399" customWidth="1"/>
    <col min="15364" max="15364" width="17.28515625" style="399" customWidth="1"/>
    <col min="15365" max="15365" width="13.42578125" style="399" customWidth="1"/>
    <col min="15366" max="15366" width="13.85546875" style="399" customWidth="1"/>
    <col min="15367" max="15367" width="15.7109375" style="399" customWidth="1"/>
    <col min="15368" max="15368" width="16" style="399" customWidth="1"/>
    <col min="15369" max="15370" width="15.85546875" style="399" customWidth="1"/>
    <col min="15371" max="15371" width="14" style="399" customWidth="1"/>
    <col min="15372" max="15373" width="18.85546875" style="399" customWidth="1"/>
    <col min="15374" max="15374" width="16.7109375" style="399" customWidth="1"/>
    <col min="15375" max="15375" width="18" style="399" customWidth="1"/>
    <col min="15376" max="15384" width="9.140625" style="399"/>
    <col min="15385" max="15387" width="0" style="399" hidden="1" customWidth="1"/>
    <col min="15388" max="15616" width="9.140625" style="399"/>
    <col min="15617" max="15617" width="12.42578125" style="399" customWidth="1"/>
    <col min="15618" max="15618" width="0" style="399" hidden="1" customWidth="1"/>
    <col min="15619" max="15619" width="52.140625" style="399" customWidth="1"/>
    <col min="15620" max="15620" width="17.28515625" style="399" customWidth="1"/>
    <col min="15621" max="15621" width="13.42578125" style="399" customWidth="1"/>
    <col min="15622" max="15622" width="13.85546875" style="399" customWidth="1"/>
    <col min="15623" max="15623" width="15.7109375" style="399" customWidth="1"/>
    <col min="15624" max="15624" width="16" style="399" customWidth="1"/>
    <col min="15625" max="15626" width="15.85546875" style="399" customWidth="1"/>
    <col min="15627" max="15627" width="14" style="399" customWidth="1"/>
    <col min="15628" max="15629" width="18.85546875" style="399" customWidth="1"/>
    <col min="15630" max="15630" width="16.7109375" style="399" customWidth="1"/>
    <col min="15631" max="15631" width="18" style="399" customWidth="1"/>
    <col min="15632" max="15640" width="9.140625" style="399"/>
    <col min="15641" max="15643" width="0" style="399" hidden="1" customWidth="1"/>
    <col min="15644" max="15872" width="9.140625" style="399"/>
    <col min="15873" max="15873" width="12.42578125" style="399" customWidth="1"/>
    <col min="15874" max="15874" width="0" style="399" hidden="1" customWidth="1"/>
    <col min="15875" max="15875" width="52.140625" style="399" customWidth="1"/>
    <col min="15876" max="15876" width="17.28515625" style="399" customWidth="1"/>
    <col min="15877" max="15877" width="13.42578125" style="399" customWidth="1"/>
    <col min="15878" max="15878" width="13.85546875" style="399" customWidth="1"/>
    <col min="15879" max="15879" width="15.7109375" style="399" customWidth="1"/>
    <col min="15880" max="15880" width="16" style="399" customWidth="1"/>
    <col min="15881" max="15882" width="15.85546875" style="399" customWidth="1"/>
    <col min="15883" max="15883" width="14" style="399" customWidth="1"/>
    <col min="15884" max="15885" width="18.85546875" style="399" customWidth="1"/>
    <col min="15886" max="15886" width="16.7109375" style="399" customWidth="1"/>
    <col min="15887" max="15887" width="18" style="399" customWidth="1"/>
    <col min="15888" max="15896" width="9.140625" style="399"/>
    <col min="15897" max="15899" width="0" style="399" hidden="1" customWidth="1"/>
    <col min="15900" max="16128" width="9.140625" style="399"/>
    <col min="16129" max="16129" width="12.42578125" style="399" customWidth="1"/>
    <col min="16130" max="16130" width="0" style="399" hidden="1" customWidth="1"/>
    <col min="16131" max="16131" width="52.140625" style="399" customWidth="1"/>
    <col min="16132" max="16132" width="17.28515625" style="399" customWidth="1"/>
    <col min="16133" max="16133" width="13.42578125" style="399" customWidth="1"/>
    <col min="16134" max="16134" width="13.85546875" style="399" customWidth="1"/>
    <col min="16135" max="16135" width="15.7109375" style="399" customWidth="1"/>
    <col min="16136" max="16136" width="16" style="399" customWidth="1"/>
    <col min="16137" max="16138" width="15.85546875" style="399" customWidth="1"/>
    <col min="16139" max="16139" width="14" style="399" customWidth="1"/>
    <col min="16140" max="16141" width="18.85546875" style="399" customWidth="1"/>
    <col min="16142" max="16142" width="16.7109375" style="399" customWidth="1"/>
    <col min="16143" max="16143" width="18" style="399" customWidth="1"/>
    <col min="16144" max="16152" width="9.140625" style="399"/>
    <col min="16153" max="16155" width="0" style="399" hidden="1" customWidth="1"/>
    <col min="16156" max="16384" width="9.140625" style="399"/>
  </cols>
  <sheetData>
    <row r="1" spans="1:27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4"/>
      <c r="L1" s="404"/>
      <c r="M1" s="404"/>
      <c r="N1" s="405"/>
      <c r="O1" s="405"/>
    </row>
    <row r="2" spans="1:27" ht="18">
      <c r="A2" s="406" t="s">
        <v>713</v>
      </c>
      <c r="D2" s="407"/>
      <c r="E2" s="407"/>
      <c r="F2" s="407"/>
      <c r="H2" s="407"/>
      <c r="I2" s="407"/>
      <c r="J2" s="407"/>
      <c r="K2" s="407"/>
      <c r="L2" s="407"/>
      <c r="M2" s="407"/>
      <c r="N2" s="407"/>
      <c r="O2" s="407"/>
    </row>
    <row r="3" spans="1:27">
      <c r="A3" s="409"/>
      <c r="B3" s="409"/>
      <c r="C3" s="409"/>
      <c r="D3" s="410"/>
      <c r="E3" s="410"/>
      <c r="F3" s="410"/>
      <c r="G3" s="411"/>
      <c r="H3" s="411"/>
      <c r="I3" s="411"/>
      <c r="J3" s="411"/>
      <c r="K3" s="412"/>
      <c r="L3" s="412"/>
      <c r="M3" s="412"/>
      <c r="N3" s="413"/>
      <c r="O3" s="413"/>
    </row>
    <row r="4" spans="1:27">
      <c r="A4" s="409"/>
      <c r="B4" s="409"/>
      <c r="C4" s="409"/>
      <c r="D4" s="410"/>
      <c r="E4" s="410"/>
      <c r="F4" s="410"/>
      <c r="G4" s="411"/>
      <c r="H4" s="411"/>
      <c r="I4" s="411"/>
      <c r="J4" s="411"/>
      <c r="K4" s="412"/>
      <c r="L4" s="412"/>
      <c r="M4" s="412"/>
      <c r="N4" s="413"/>
      <c r="O4" s="413"/>
      <c r="T4" s="414"/>
      <c r="U4" s="414"/>
    </row>
    <row r="5" spans="1:27" ht="15" customHeight="1">
      <c r="A5" s="450" t="str">
        <f>PESQUISAS!A8</f>
        <v>Cliente:</v>
      </c>
      <c r="B5" s="451" t="str">
        <f>PESQUISAS!B8</f>
        <v>Delta</v>
      </c>
      <c r="C5" s="451" t="str">
        <f>PESQUISAS!B8</f>
        <v>Delta</v>
      </c>
      <c r="D5" s="417"/>
      <c r="E5" s="417"/>
      <c r="F5" s="418"/>
      <c r="G5" s="419"/>
      <c r="H5" s="419"/>
      <c r="I5" s="419"/>
      <c r="J5" s="419"/>
      <c r="K5" s="420"/>
      <c r="L5" s="420"/>
      <c r="M5" s="420"/>
      <c r="N5" s="421"/>
      <c r="O5" s="452"/>
      <c r="T5" s="414"/>
      <c r="U5" s="414"/>
    </row>
    <row r="6" spans="1:27" ht="15" customHeight="1">
      <c r="A6" s="453" t="str">
        <f>PESQUISAS!A9</f>
        <v>Local:</v>
      </c>
      <c r="B6" s="422" t="str">
        <f>PESQUISAS!B9</f>
        <v>Rua Existente, s/n</v>
      </c>
      <c r="C6" s="451" t="str">
        <f>PESQUISAS!B9</f>
        <v>Rua Existente, s/n</v>
      </c>
      <c r="D6" s="417"/>
      <c r="E6" s="417"/>
      <c r="F6" s="418"/>
      <c r="G6" s="419"/>
      <c r="H6" s="419"/>
      <c r="I6" s="419"/>
      <c r="J6" s="419"/>
      <c r="K6" s="420"/>
      <c r="L6" s="420"/>
      <c r="M6" s="420"/>
      <c r="N6" s="421"/>
      <c r="O6" s="452"/>
      <c r="T6" s="423"/>
      <c r="U6" s="423"/>
    </row>
    <row r="7" spans="1:27" ht="15" customHeight="1">
      <c r="A7" s="453" t="str">
        <f>PESQUISAS!A10</f>
        <v xml:space="preserve">Data Base: </v>
      </c>
      <c r="B7" s="422" t="str">
        <f>PESQUISAS!B10</f>
        <v>Outubro/2011</v>
      </c>
      <c r="C7" s="451" t="str">
        <f>PESQUISAS!B10</f>
        <v>Outubro/2011</v>
      </c>
      <c r="D7" s="417"/>
      <c r="E7" s="417"/>
      <c r="F7" s="418"/>
      <c r="G7" s="419"/>
      <c r="H7" s="419"/>
      <c r="I7" s="419"/>
      <c r="J7" s="419"/>
      <c r="K7" s="425"/>
      <c r="L7" s="425"/>
      <c r="M7" s="425"/>
      <c r="N7" s="426"/>
      <c r="O7" s="454"/>
      <c r="T7" s="423"/>
      <c r="U7" s="423"/>
    </row>
    <row r="8" spans="1:27" ht="15" customHeight="1">
      <c r="A8" s="422"/>
      <c r="B8" s="422"/>
      <c r="C8" s="422"/>
      <c r="D8" s="427"/>
      <c r="E8" s="427"/>
      <c r="F8" s="428"/>
      <c r="G8" s="429"/>
      <c r="H8" s="429"/>
      <c r="I8" s="429"/>
      <c r="J8" s="455"/>
      <c r="K8" s="455"/>
      <c r="L8" s="456"/>
      <c r="M8" s="456"/>
      <c r="N8" s="426"/>
      <c r="O8" s="454"/>
    </row>
    <row r="9" spans="1:27" ht="15" customHeight="1" thickBot="1">
      <c r="A9" s="430"/>
      <c r="B9" s="430"/>
      <c r="C9" s="430"/>
      <c r="D9" s="431"/>
      <c r="E9" s="431"/>
      <c r="F9" s="431"/>
      <c r="G9" s="432"/>
      <c r="H9" s="432"/>
      <c r="I9" s="432"/>
      <c r="J9" s="432"/>
      <c r="K9" s="433"/>
      <c r="L9" s="433"/>
      <c r="M9" s="433"/>
      <c r="N9" s="434"/>
      <c r="O9" s="434"/>
      <c r="T9" s="423"/>
      <c r="U9" s="423"/>
    </row>
    <row r="10" spans="1:27" s="435" customFormat="1" ht="15" customHeight="1" thickTop="1">
      <c r="A10" s="1027" t="str">
        <f>PESQUISAS!A13</f>
        <v>Item</v>
      </c>
      <c r="B10" s="1027" t="s">
        <v>714</v>
      </c>
      <c r="C10" s="1030" t="s">
        <v>702</v>
      </c>
      <c r="D10" s="1032" t="s">
        <v>715</v>
      </c>
      <c r="E10" s="1035" t="str">
        <f>PESQUISAS!E13</f>
        <v>Área Construída (m²)</v>
      </c>
      <c r="F10" s="1032" t="s">
        <v>716</v>
      </c>
      <c r="G10" s="1175" t="s">
        <v>717</v>
      </c>
      <c r="H10" s="1176"/>
      <c r="I10" s="1176"/>
      <c r="J10" s="1176"/>
      <c r="K10" s="1176"/>
      <c r="L10" s="1176"/>
      <c r="M10" s="1177"/>
      <c r="N10" s="1032" t="s">
        <v>718</v>
      </c>
      <c r="O10" s="1052" t="s">
        <v>719</v>
      </c>
      <c r="T10" s="423"/>
      <c r="U10" s="423"/>
      <c r="Y10" s="1155" t="s">
        <v>720</v>
      </c>
      <c r="Z10" s="1155" t="s">
        <v>720</v>
      </c>
      <c r="AA10" s="1155" t="s">
        <v>720</v>
      </c>
    </row>
    <row r="11" spans="1:27" s="435" customFormat="1" ht="15" customHeight="1">
      <c r="A11" s="1028"/>
      <c r="B11" s="1028"/>
      <c r="C11" s="1173"/>
      <c r="D11" s="1033"/>
      <c r="E11" s="1036"/>
      <c r="F11" s="1033"/>
      <c r="G11" s="1156" t="s">
        <v>721</v>
      </c>
      <c r="H11" s="1156" t="s">
        <v>722</v>
      </c>
      <c r="I11" s="1156" t="s">
        <v>700</v>
      </c>
      <c r="J11" s="1159" t="s">
        <v>298</v>
      </c>
      <c r="K11" s="1160" t="s">
        <v>723</v>
      </c>
      <c r="L11" s="1160" t="s">
        <v>694</v>
      </c>
      <c r="M11" s="1160" t="s">
        <v>724</v>
      </c>
      <c r="N11" s="1033"/>
      <c r="O11" s="1153"/>
      <c r="T11" s="436"/>
      <c r="U11" s="436"/>
      <c r="Y11" s="1155"/>
      <c r="Z11" s="1155"/>
      <c r="AA11" s="1155"/>
    </row>
    <row r="12" spans="1:27" s="435" customFormat="1" ht="15" customHeight="1" thickBot="1">
      <c r="A12" s="1029"/>
      <c r="B12" s="1029"/>
      <c r="C12" s="1174"/>
      <c r="D12" s="1034"/>
      <c r="E12" s="1037"/>
      <c r="F12" s="1034"/>
      <c r="G12" s="1157"/>
      <c r="H12" s="1158"/>
      <c r="I12" s="1158"/>
      <c r="J12" s="1048"/>
      <c r="K12" s="1040"/>
      <c r="L12" s="1040"/>
      <c r="M12" s="1040"/>
      <c r="N12" s="1034"/>
      <c r="O12" s="1154"/>
      <c r="T12" s="436"/>
      <c r="U12" s="436"/>
      <c r="Y12" s="1155"/>
      <c r="Z12" s="1155"/>
      <c r="AA12" s="1155"/>
    </row>
    <row r="13" spans="1:27" s="435" customFormat="1" ht="18" customHeight="1" thickTop="1">
      <c r="A13" s="1189">
        <f>PESQUISAS!A16</f>
        <v>1</v>
      </c>
      <c r="B13" s="1161">
        <v>1</v>
      </c>
      <c r="C13" s="457" t="str">
        <f>PESQUISAS!B16</f>
        <v>Rua Cardeal Roncali, em frente ao Lt 48 Qd 125</v>
      </c>
      <c r="D13" s="1163">
        <f>PESQUISAS!C16</f>
        <v>163000</v>
      </c>
      <c r="E13" s="1165">
        <f>PESQUISAS!E16</f>
        <v>75</v>
      </c>
      <c r="F13" s="1167">
        <f>D13/E13</f>
        <v>2173.3333333333335</v>
      </c>
      <c r="G13" s="1169">
        <v>0.95</v>
      </c>
      <c r="H13" s="1171">
        <f>(1+(((PESQUISAS!$M$26-PESQUISAS!M16)/PESQUISAS!M16)*0.6))</f>
        <v>1</v>
      </c>
      <c r="I13" s="1171">
        <f>(1+(((PESQUISAS!$P$26-PESQUISAS!P16)/PESQUISAS!P16)*0.6))</f>
        <v>1</v>
      </c>
      <c r="J13" s="1183">
        <f>AA13</f>
        <v>0.92552630869467911</v>
      </c>
      <c r="K13" s="1169">
        <v>1</v>
      </c>
      <c r="L13" s="1170">
        <v>1</v>
      </c>
      <c r="M13" s="1170">
        <v>1</v>
      </c>
      <c r="N13" s="1185">
        <f>G13*H13*I13*J13*K13*L13*M13</f>
        <v>0.87924999325994513</v>
      </c>
      <c r="O13" s="1178">
        <f>F13*N13</f>
        <v>1910.9033186849476</v>
      </c>
      <c r="T13" s="436"/>
      <c r="U13" s="436"/>
      <c r="Y13" s="1180" t="b">
        <f>AND(PESQUISAS!$E$26*0.7&lt;=E13,PESQUISAS!$E$26*1.3&gt;=E13)</f>
        <v>0</v>
      </c>
      <c r="Z13" s="1180">
        <f>IF(Y13,0.25,0.125)</f>
        <v>0.125</v>
      </c>
      <c r="AA13" s="1181">
        <f>(E13/PESQUISAS!$E$26)^Z13</f>
        <v>0.92552630869467911</v>
      </c>
    </row>
    <row r="14" spans="1:27" s="435" customFormat="1" ht="18" customHeight="1">
      <c r="A14" s="1182"/>
      <c r="B14" s="1162"/>
      <c r="C14" s="458" t="str">
        <f>PESQUISAS!B17</f>
        <v>Ítalo: 21 8867-3713</v>
      </c>
      <c r="D14" s="1164"/>
      <c r="E14" s="1166"/>
      <c r="F14" s="1168"/>
      <c r="G14" s="1170"/>
      <c r="H14" s="1172"/>
      <c r="I14" s="1172"/>
      <c r="J14" s="1184"/>
      <c r="K14" s="1170"/>
      <c r="L14" s="1170"/>
      <c r="M14" s="1170"/>
      <c r="N14" s="1186"/>
      <c r="O14" s="1179"/>
      <c r="Q14" s="459"/>
      <c r="T14" s="436"/>
      <c r="U14" s="436"/>
      <c r="Y14" s="1180"/>
      <c r="Z14" s="1180"/>
      <c r="AA14" s="1181"/>
    </row>
    <row r="15" spans="1:27" s="435" customFormat="1" ht="18" customHeight="1">
      <c r="A15" s="1182">
        <f>PESQUISAS!A18</f>
        <v>2</v>
      </c>
      <c r="B15" s="1162">
        <v>1</v>
      </c>
      <c r="C15" s="458" t="str">
        <f>PESQUISAS!B18</f>
        <v>Rua Carlos Fox, Lt 12 Qd 53 Casa02</v>
      </c>
      <c r="D15" s="1164">
        <f>PESQUISAS!C18</f>
        <v>250000</v>
      </c>
      <c r="E15" s="1166">
        <f>PESQUISAS!E18</f>
        <v>120</v>
      </c>
      <c r="F15" s="1168">
        <f>D15/E15</f>
        <v>2083.3333333333335</v>
      </c>
      <c r="G15" s="1170">
        <v>0.95</v>
      </c>
      <c r="H15" s="1190">
        <f>(1+(((PESQUISAS!$M$26-PESQUISAS!M18)/PESQUISAS!M18)*0.6))</f>
        <v>1.0356718192627825</v>
      </c>
      <c r="I15" s="1190">
        <f>(1+(((PESQUISAS!$P$26-PESQUISAS!P18)/PESQUISAS!P18)*0.6))</f>
        <v>1</v>
      </c>
      <c r="J15" s="1191">
        <f>AA15</f>
        <v>0.96340197524667881</v>
      </c>
      <c r="K15" s="1170">
        <v>1</v>
      </c>
      <c r="L15" s="1170">
        <v>1</v>
      </c>
      <c r="M15" s="1170">
        <v>1</v>
      </c>
      <c r="N15" s="1187">
        <f>G15*H15*I15*J15*K15*L15*M15</f>
        <v>0.94787986256583157</v>
      </c>
      <c r="O15" s="1179">
        <f>F15*N15</f>
        <v>1974.7497136788159</v>
      </c>
      <c r="T15" s="436"/>
      <c r="U15" s="436"/>
      <c r="Y15" s="1180" t="b">
        <f>AND(PESQUISAS!$E$26*0.7&lt;=E15,PESQUISAS!$E$26*1.3&gt;=E15)</f>
        <v>1</v>
      </c>
      <c r="Z15" s="1180">
        <f>IF(Y15,0.25,0.125)</f>
        <v>0.25</v>
      </c>
      <c r="AA15" s="1181">
        <f>(E15/PESQUISAS!$E$26)^Z15</f>
        <v>0.96340197524667881</v>
      </c>
    </row>
    <row r="16" spans="1:27" s="435" customFormat="1" ht="18" customHeight="1">
      <c r="A16" s="1182"/>
      <c r="B16" s="1162"/>
      <c r="C16" s="458" t="str">
        <f>PESQUISAS!B19</f>
        <v>Santos Gonçalves: 21 2702-5100</v>
      </c>
      <c r="D16" s="1164"/>
      <c r="E16" s="1166"/>
      <c r="F16" s="1168"/>
      <c r="G16" s="1170"/>
      <c r="H16" s="1172"/>
      <c r="I16" s="1172"/>
      <c r="J16" s="1184"/>
      <c r="K16" s="1170"/>
      <c r="L16" s="1170"/>
      <c r="M16" s="1170"/>
      <c r="N16" s="1188"/>
      <c r="O16" s="1179"/>
      <c r="T16" s="436"/>
      <c r="U16" s="436"/>
      <c r="Y16" s="1180"/>
      <c r="Z16" s="1180"/>
      <c r="AA16" s="1181"/>
    </row>
    <row r="17" spans="1:27" s="435" customFormat="1" ht="18" customHeight="1">
      <c r="A17" s="1182">
        <f>PESQUISAS!A20</f>
        <v>3</v>
      </c>
      <c r="B17" s="1162">
        <v>1</v>
      </c>
      <c r="C17" s="458" t="str">
        <f>PESQUISAS!B20</f>
        <v>Rua Eudito Egger 304</v>
      </c>
      <c r="D17" s="1164">
        <f>PESQUISAS!C20</f>
        <v>270000</v>
      </c>
      <c r="E17" s="1166">
        <f>PESQUISAS!E20</f>
        <v>108.74</v>
      </c>
      <c r="F17" s="1168">
        <f>D17/E17</f>
        <v>2482.9869413279384</v>
      </c>
      <c r="G17" s="1170">
        <v>0.95</v>
      </c>
      <c r="H17" s="1190">
        <f>(1+(((PESQUISAS!$M$26-PESQUISAS!M20)/PESQUISAS!M20)*0.6))</f>
        <v>1</v>
      </c>
      <c r="I17" s="1190">
        <f>(1+(((PESQUISAS!$P$26-PESQUISAS!P20)/PESQUISAS!P20)*0.6))</f>
        <v>1</v>
      </c>
      <c r="J17" s="1191">
        <f>AA17</f>
        <v>0.93996039059857284</v>
      </c>
      <c r="K17" s="1170">
        <v>1</v>
      </c>
      <c r="L17" s="1170">
        <v>1</v>
      </c>
      <c r="M17" s="1170">
        <v>1</v>
      </c>
      <c r="N17" s="1187">
        <f>G17*H17*I17*J17*K17*L17*M17</f>
        <v>0.89296237106864418</v>
      </c>
      <c r="O17" s="1179">
        <f>F17*N17</f>
        <v>2217.2139064606763</v>
      </c>
      <c r="T17" s="436"/>
      <c r="U17" s="436"/>
      <c r="Y17" s="1180" t="b">
        <f>AND(PESQUISAS!$E$26*0.7&lt;=E17,PESQUISAS!$E$26*1.3&gt;=E17)</f>
        <v>1</v>
      </c>
      <c r="Z17" s="1180">
        <f>IF(Y17,0.25,0.125)</f>
        <v>0.25</v>
      </c>
      <c r="AA17" s="1181">
        <f>(E17/PESQUISAS!$E$26)^Z17</f>
        <v>0.93996039059857284</v>
      </c>
    </row>
    <row r="18" spans="1:27" s="435" customFormat="1" ht="18" customHeight="1">
      <c r="A18" s="1182"/>
      <c r="B18" s="1162"/>
      <c r="C18" s="458" t="str">
        <f>PESQUISAS!B21</f>
        <v>Santos Gonçalves: 21 2702-5100</v>
      </c>
      <c r="D18" s="1164"/>
      <c r="E18" s="1166"/>
      <c r="F18" s="1168"/>
      <c r="G18" s="1170"/>
      <c r="H18" s="1172"/>
      <c r="I18" s="1172"/>
      <c r="J18" s="1184"/>
      <c r="K18" s="1170"/>
      <c r="L18" s="1170"/>
      <c r="M18" s="1170"/>
      <c r="N18" s="1188"/>
      <c r="O18" s="1179"/>
      <c r="T18" s="436"/>
      <c r="U18" s="436"/>
      <c r="Y18" s="1180"/>
      <c r="Z18" s="1180"/>
      <c r="AA18" s="1181"/>
    </row>
    <row r="19" spans="1:27" s="435" customFormat="1" ht="18" customHeight="1">
      <c r="A19" s="1182">
        <f>PESQUISAS!A22</f>
        <v>4</v>
      </c>
      <c r="B19" s="1162">
        <v>1</v>
      </c>
      <c r="C19" s="458" t="str">
        <f>PESQUISAS!B22</f>
        <v>Rua Cardela Montini Lt 32 Qd 105 - fundos</v>
      </c>
      <c r="D19" s="1164">
        <f>PESQUISAS!C22</f>
        <v>130000</v>
      </c>
      <c r="E19" s="1166">
        <f>PESQUISAS!E22</f>
        <v>87</v>
      </c>
      <c r="F19" s="1168">
        <f>D19/E19</f>
        <v>1494.2528735632184</v>
      </c>
      <c r="G19" s="1170">
        <v>0.95</v>
      </c>
      <c r="H19" s="1190">
        <f>(1+(((PESQUISAS!$M$26-PESQUISAS!M22)/PESQUISAS!M22)*0.6))</f>
        <v>1.4778225806451613</v>
      </c>
      <c r="I19" s="1190">
        <f>(1+(((PESQUISAS!$P$26-PESQUISAS!P22)/PESQUISAS!P22)*0.6))</f>
        <v>1.1875</v>
      </c>
      <c r="J19" s="1191">
        <f>AA19</f>
        <v>0.9428574066276284</v>
      </c>
      <c r="K19" s="1170">
        <v>1</v>
      </c>
      <c r="L19" s="1170">
        <v>1</v>
      </c>
      <c r="M19" s="1170">
        <v>1</v>
      </c>
      <c r="N19" s="1187">
        <f>G19*H19*I19*J19*K19*L19*M19</f>
        <v>1.5719022614664604</v>
      </c>
      <c r="O19" s="1179">
        <f>F19*N19</f>
        <v>2348.8194711567799</v>
      </c>
      <c r="T19" s="436"/>
      <c r="U19" s="436"/>
      <c r="Y19" s="1180" t="b">
        <f>AND(PESQUISAS!$E$26*0.7&lt;=E19,PESQUISAS!$E$26*1.3&gt;=E19)</f>
        <v>0</v>
      </c>
      <c r="Z19" s="1180">
        <f>IF(Y19,0.25,0.125)</f>
        <v>0.125</v>
      </c>
      <c r="AA19" s="1181">
        <f>(E19/PESQUISAS!$E$26)^Z19</f>
        <v>0.9428574066276284</v>
      </c>
    </row>
    <row r="20" spans="1:27" s="435" customFormat="1" ht="18" customHeight="1">
      <c r="A20" s="1182"/>
      <c r="B20" s="1162"/>
      <c r="C20" s="458" t="str">
        <f>PESQUISAS!B23</f>
        <v>Cláudio: 21 9504-7211</v>
      </c>
      <c r="D20" s="1164"/>
      <c r="E20" s="1166"/>
      <c r="F20" s="1168"/>
      <c r="G20" s="1170"/>
      <c r="H20" s="1172"/>
      <c r="I20" s="1172"/>
      <c r="J20" s="1184"/>
      <c r="K20" s="1170"/>
      <c r="L20" s="1170"/>
      <c r="M20" s="1170"/>
      <c r="N20" s="1188"/>
      <c r="O20" s="1179"/>
      <c r="T20" s="436"/>
      <c r="U20" s="436"/>
      <c r="Y20" s="1180"/>
      <c r="Z20" s="1180"/>
      <c r="AA20" s="1181"/>
    </row>
    <row r="21" spans="1:27" s="435" customFormat="1" ht="18" customHeight="1">
      <c r="A21" s="1182">
        <f>PESQUISAS!A24</f>
        <v>5</v>
      </c>
      <c r="B21" s="1162">
        <v>1</v>
      </c>
      <c r="C21" s="458" t="str">
        <f>PESQUISAS!B24</f>
        <v>Rua Gilberto Amado 21, casa 02</v>
      </c>
      <c r="D21" s="1164">
        <f>PESQUISAS!C24</f>
        <v>185000</v>
      </c>
      <c r="E21" s="1166">
        <f>PESQUISAS!E24</f>
        <v>100</v>
      </c>
      <c r="F21" s="1168">
        <f>D21/E21</f>
        <v>1850</v>
      </c>
      <c r="G21" s="1170">
        <v>0.95</v>
      </c>
      <c r="H21" s="1190">
        <f>(1+(((PESQUISAS!$M$26-PESQUISAS!M24)/PESQUISAS!M24)*0.6))</f>
        <v>1.2792763157894738</v>
      </c>
      <c r="I21" s="1190">
        <f>(1+(((PESQUISAS!$P$26-PESQUISAS!P24)/PESQUISAS!P24)*0.6))</f>
        <v>1</v>
      </c>
      <c r="J21" s="1191">
        <f>AA21</f>
        <v>0.9204754732448891</v>
      </c>
      <c r="K21" s="1170">
        <v>1</v>
      </c>
      <c r="L21" s="1170">
        <v>1</v>
      </c>
      <c r="M21" s="1170">
        <v>1</v>
      </c>
      <c r="N21" s="1187">
        <f>G21*H21*I21*J21*K21*L21*M21</f>
        <v>1.1186653485779292</v>
      </c>
      <c r="O21" s="1179">
        <f>F21*N21</f>
        <v>2069.5308948691691</v>
      </c>
      <c r="T21" s="436"/>
      <c r="U21" s="436"/>
      <c r="Y21" s="1180" t="b">
        <f>AND(PESQUISAS!$E$26*0.7&lt;=E21,PESQUISAS!$E$26*1.3&gt;=E21)</f>
        <v>1</v>
      </c>
      <c r="Z21" s="1180">
        <f>IF(Y21,0.25,0.125)</f>
        <v>0.25</v>
      </c>
      <c r="AA21" s="1181">
        <f>(E21/PESQUISAS!$E$26)^Z21</f>
        <v>0.9204754732448891</v>
      </c>
    </row>
    <row r="22" spans="1:27" s="435" customFormat="1" ht="18" customHeight="1" thickBot="1">
      <c r="A22" s="1182"/>
      <c r="B22" s="1162"/>
      <c r="C22" s="458" t="str">
        <f>PESQUISAS!B25</f>
        <v>Francisco: 21 8760-3000</v>
      </c>
      <c r="D22" s="1164"/>
      <c r="E22" s="1166"/>
      <c r="F22" s="1168"/>
      <c r="G22" s="1170"/>
      <c r="H22" s="1172"/>
      <c r="I22" s="1172"/>
      <c r="J22" s="1184"/>
      <c r="K22" s="1170"/>
      <c r="L22" s="1170"/>
      <c r="M22" s="1170"/>
      <c r="N22" s="1192"/>
      <c r="O22" s="1179"/>
      <c r="Y22" s="1180"/>
      <c r="Z22" s="1180"/>
      <c r="AA22" s="1181"/>
    </row>
    <row r="23" spans="1:27" s="435" customFormat="1" ht="15" customHeight="1" thickTop="1" thickBot="1">
      <c r="A23" s="460"/>
      <c r="B23" s="460"/>
      <c r="C23" s="461"/>
      <c r="D23" s="443"/>
      <c r="E23" s="462"/>
      <c r="F23" s="463"/>
      <c r="G23" s="464"/>
      <c r="H23" s="464"/>
      <c r="I23" s="464"/>
      <c r="J23" s="464"/>
      <c r="K23" s="465"/>
      <c r="L23" s="465"/>
      <c r="M23" s="465"/>
      <c r="N23" s="464"/>
      <c r="O23" s="466"/>
    </row>
    <row r="24" spans="1:27" s="435" customFormat="1" ht="15" customHeight="1" thickTop="1">
      <c r="A24" s="1205" t="s">
        <v>725</v>
      </c>
      <c r="B24" s="1206"/>
      <c r="C24" s="1207"/>
      <c r="D24" s="467">
        <f>SUM(B13:B22)</f>
        <v>5</v>
      </c>
      <c r="E24" s="468"/>
      <c r="F24" s="469"/>
      <c r="G24" s="470"/>
      <c r="H24" s="470"/>
      <c r="I24" s="470"/>
      <c r="J24" s="470"/>
      <c r="K24" s="470"/>
      <c r="L24" s="1208" t="s">
        <v>726</v>
      </c>
      <c r="M24" s="1209"/>
      <c r="N24" s="1210"/>
      <c r="O24" s="471">
        <f>AVERAGE(O13:O22)</f>
        <v>2104.2434609700776</v>
      </c>
    </row>
    <row r="25" spans="1:27" s="435" customFormat="1" ht="15" customHeight="1">
      <c r="A25" s="1211" t="s">
        <v>727</v>
      </c>
      <c r="B25" s="1212"/>
      <c r="C25" s="1213"/>
      <c r="D25" s="472" t="s">
        <v>728</v>
      </c>
      <c r="E25" s="468"/>
      <c r="F25" s="469"/>
      <c r="G25" s="468"/>
      <c r="H25" s="468"/>
      <c r="I25" s="468"/>
      <c r="J25" s="468"/>
      <c r="K25" s="468"/>
      <c r="L25" s="1193" t="s">
        <v>729</v>
      </c>
      <c r="M25" s="1194"/>
      <c r="N25" s="1195"/>
      <c r="O25" s="473">
        <f>STDEV(O13:O22)</f>
        <v>178.83913844910151</v>
      </c>
    </row>
    <row r="26" spans="1:27" s="435" customFormat="1" ht="15" customHeight="1" thickBot="1">
      <c r="A26" s="1214" t="s">
        <v>730</v>
      </c>
      <c r="B26" s="1215"/>
      <c r="C26" s="1216"/>
      <c r="D26" s="474" t="s">
        <v>731</v>
      </c>
      <c r="E26" s="475"/>
      <c r="F26" s="470"/>
      <c r="G26" s="475"/>
      <c r="H26" s="475"/>
      <c r="I26" s="475"/>
      <c r="J26" s="475"/>
      <c r="K26" s="475"/>
      <c r="L26" s="1217" t="s">
        <v>732</v>
      </c>
      <c r="M26" s="1218"/>
      <c r="N26" s="1219"/>
      <c r="O26" s="476">
        <f>O25/O24</f>
        <v>8.4989756064944522E-2</v>
      </c>
    </row>
    <row r="27" spans="1:27" s="435" customFormat="1" ht="13.5" thickTop="1">
      <c r="L27" s="1193" t="s">
        <v>733</v>
      </c>
      <c r="M27" s="1194"/>
      <c r="N27" s="1195"/>
      <c r="O27" s="477">
        <f>((GL!B35)*(O25/SQRT(GL!B34)))+O24</f>
        <v>2241.3236605913139</v>
      </c>
    </row>
    <row r="28" spans="1:27" ht="13.5" thickBot="1">
      <c r="K28" s="399"/>
      <c r="L28" s="1196" t="s">
        <v>734</v>
      </c>
      <c r="M28" s="1197"/>
      <c r="N28" s="1198"/>
      <c r="O28" s="478">
        <f>O24-((GL!B35)*(O25/SQRT(GL!B34)))</f>
        <v>1967.1632613488414</v>
      </c>
    </row>
    <row r="29" spans="1:27" ht="14.25" thickTop="1" thickBot="1"/>
    <row r="30" spans="1:27" ht="12.75" customHeight="1" thickTop="1">
      <c r="L30" s="479" t="s">
        <v>735</v>
      </c>
      <c r="M30" s="480"/>
      <c r="N30" s="1199">
        <f>O28*PESQUISAS!E26</f>
        <v>274025.8423058936</v>
      </c>
      <c r="O30" s="1200"/>
    </row>
    <row r="31" spans="1:27" ht="12.75" customHeight="1">
      <c r="L31" s="481" t="s">
        <v>736</v>
      </c>
      <c r="M31" s="482"/>
      <c r="N31" s="1201">
        <f>O24*PESQUISAS!E26</f>
        <v>293121.11411313183</v>
      </c>
      <c r="O31" s="1202"/>
    </row>
    <row r="32" spans="1:27" ht="12.75" customHeight="1" thickBot="1">
      <c r="D32" s="470"/>
      <c r="L32" s="483" t="s">
        <v>737</v>
      </c>
      <c r="M32" s="484"/>
      <c r="N32" s="1203">
        <f>O27*PESQUISAS!E26</f>
        <v>312216.38592037006</v>
      </c>
      <c r="O32" s="1204"/>
    </row>
    <row r="33" ht="12.75" customHeight="1" thickTop="1"/>
    <row r="34" ht="12.75" customHeight="1"/>
    <row r="35" ht="12.75" customHeight="1"/>
  </sheetData>
  <sheetProtection password="D5CD" sheet="1" objects="1" scenarios="1"/>
  <protectedRanges>
    <protectedRange sqref="G13:G22 D25:D26 K13:M22" name="Intervalo1"/>
  </protectedRanges>
  <mergeCells count="115">
    <mergeCell ref="L27:N27"/>
    <mergeCell ref="L28:N28"/>
    <mergeCell ref="N30:O30"/>
    <mergeCell ref="N31:O31"/>
    <mergeCell ref="N32:O32"/>
    <mergeCell ref="A24:C24"/>
    <mergeCell ref="L24:N24"/>
    <mergeCell ref="A25:C25"/>
    <mergeCell ref="L25:N25"/>
    <mergeCell ref="A26:C26"/>
    <mergeCell ref="L26:N26"/>
    <mergeCell ref="O21:O22"/>
    <mergeCell ref="Y21:Y22"/>
    <mergeCell ref="Z21:Z22"/>
    <mergeCell ref="AA21:AA22"/>
    <mergeCell ref="G21:G22"/>
    <mergeCell ref="H21:H22"/>
    <mergeCell ref="I21:I22"/>
    <mergeCell ref="J21:J22"/>
    <mergeCell ref="K21:K22"/>
    <mergeCell ref="L21:L22"/>
    <mergeCell ref="N19:N20"/>
    <mergeCell ref="O19:O20"/>
    <mergeCell ref="Y19:Y20"/>
    <mergeCell ref="Z19:Z20"/>
    <mergeCell ref="AA19:AA20"/>
    <mergeCell ref="A21:A22"/>
    <mergeCell ref="B21:B22"/>
    <mergeCell ref="D21:D22"/>
    <mergeCell ref="E21:E22"/>
    <mergeCell ref="F21:F22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M21:M22"/>
    <mergeCell ref="N21:N22"/>
    <mergeCell ref="M17:M18"/>
    <mergeCell ref="N17:N18"/>
    <mergeCell ref="O17:O18"/>
    <mergeCell ref="Y17:Y18"/>
    <mergeCell ref="Z17:Z18"/>
    <mergeCell ref="AA17:AA18"/>
    <mergeCell ref="G17:G18"/>
    <mergeCell ref="H17:H18"/>
    <mergeCell ref="I17:I18"/>
    <mergeCell ref="J17:J18"/>
    <mergeCell ref="K17:K18"/>
    <mergeCell ref="L17:L18"/>
    <mergeCell ref="A17:A18"/>
    <mergeCell ref="B17:B18"/>
    <mergeCell ref="D17:D18"/>
    <mergeCell ref="E17:E18"/>
    <mergeCell ref="F17:F18"/>
    <mergeCell ref="H15:H16"/>
    <mergeCell ref="I15:I16"/>
    <mergeCell ref="J15:J16"/>
    <mergeCell ref="K15:K16"/>
    <mergeCell ref="O13:O14"/>
    <mergeCell ref="Y13:Y14"/>
    <mergeCell ref="Z13:Z14"/>
    <mergeCell ref="AA13:AA14"/>
    <mergeCell ref="A15:A16"/>
    <mergeCell ref="B15:B16"/>
    <mergeCell ref="D15:D16"/>
    <mergeCell ref="E15:E16"/>
    <mergeCell ref="F15:F16"/>
    <mergeCell ref="G15:G16"/>
    <mergeCell ref="I13:I14"/>
    <mergeCell ref="J13:J14"/>
    <mergeCell ref="K13:K14"/>
    <mergeCell ref="L13:L14"/>
    <mergeCell ref="M13:M14"/>
    <mergeCell ref="N13:N14"/>
    <mergeCell ref="N15:N16"/>
    <mergeCell ref="O15:O16"/>
    <mergeCell ref="Y15:Y16"/>
    <mergeCell ref="Z15:Z16"/>
    <mergeCell ref="AA15:AA16"/>
    <mergeCell ref="L15:L16"/>
    <mergeCell ref="M15:M16"/>
    <mergeCell ref="A13:A14"/>
    <mergeCell ref="B13:B14"/>
    <mergeCell ref="D13:D14"/>
    <mergeCell ref="E13:E14"/>
    <mergeCell ref="F13:F14"/>
    <mergeCell ref="G13:G14"/>
    <mergeCell ref="H13:H14"/>
    <mergeCell ref="A10:A12"/>
    <mergeCell ref="B10:B12"/>
    <mergeCell ref="C10:C12"/>
    <mergeCell ref="D10:D12"/>
    <mergeCell ref="E10:E12"/>
    <mergeCell ref="F10:F12"/>
    <mergeCell ref="G10:M10"/>
    <mergeCell ref="N10:N12"/>
    <mergeCell ref="O10:O12"/>
    <mergeCell ref="Y10:Y12"/>
    <mergeCell ref="Z10:Z12"/>
    <mergeCell ref="AA10:AA12"/>
    <mergeCell ref="G11:G12"/>
    <mergeCell ref="H11:H12"/>
    <mergeCell ref="I11:I12"/>
    <mergeCell ref="J11:J12"/>
    <mergeCell ref="K11:K12"/>
    <mergeCell ref="L11:L12"/>
    <mergeCell ref="M11:M12"/>
  </mergeCells>
  <conditionalFormatting sqref="O26">
    <cfRule type="cellIs" dxfId="0" priority="1" stopIfTrue="1" operator="greaterThan">
      <formula>0.1501</formula>
    </cfRule>
  </conditionalFormatting>
  <printOptions horizontalCentered="1"/>
  <pageMargins left="0.47244094488188981" right="0.47244094488188981" top="0.43307086614173229" bottom="0.35433070866141736" header="0.31496062992125984" footer="0.27559055118110237"/>
  <pageSetup paperSize="9" scale="54" orientation="landscape" horizontalDpi="4294967295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36"/>
  <sheetViews>
    <sheetView showGridLines="0" topLeftCell="D1" workbookViewId="0">
      <selection activeCell="B58" sqref="B58"/>
    </sheetView>
  </sheetViews>
  <sheetFormatPr defaultRowHeight="12.75"/>
  <cols>
    <col min="1" max="1" width="11.42578125" style="486" bestFit="1" customWidth="1"/>
    <col min="2" max="9" width="9.140625" style="486"/>
    <col min="10" max="10" width="4" style="486" customWidth="1"/>
    <col min="11" max="11" width="10" style="486" customWidth="1"/>
    <col min="12" max="12" width="16.85546875" style="486" customWidth="1"/>
    <col min="13" max="13" width="6.85546875" style="486" customWidth="1"/>
    <col min="14" max="14" width="8" style="486" hidden="1" customWidth="1"/>
    <col min="15" max="15" width="9.5703125" style="486" hidden="1" customWidth="1"/>
    <col min="16" max="16" width="8" style="486" customWidth="1"/>
    <col min="17" max="17" width="30" style="486" customWidth="1"/>
    <col min="18" max="256" width="9.140625" style="486"/>
    <col min="257" max="257" width="11.42578125" style="486" bestFit="1" customWidth="1"/>
    <col min="258" max="265" width="9.140625" style="486"/>
    <col min="266" max="266" width="4" style="486" customWidth="1"/>
    <col min="267" max="267" width="10" style="486" customWidth="1"/>
    <col min="268" max="268" width="16.85546875" style="486" customWidth="1"/>
    <col min="269" max="269" width="6.85546875" style="486" customWidth="1"/>
    <col min="270" max="271" width="0" style="486" hidden="1" customWidth="1"/>
    <col min="272" max="272" width="8" style="486" customWidth="1"/>
    <col min="273" max="273" width="30" style="486" customWidth="1"/>
    <col min="274" max="512" width="9.140625" style="486"/>
    <col min="513" max="513" width="11.42578125" style="486" bestFit="1" customWidth="1"/>
    <col min="514" max="521" width="9.140625" style="486"/>
    <col min="522" max="522" width="4" style="486" customWidth="1"/>
    <col min="523" max="523" width="10" style="486" customWidth="1"/>
    <col min="524" max="524" width="16.85546875" style="486" customWidth="1"/>
    <col min="525" max="525" width="6.85546875" style="486" customWidth="1"/>
    <col min="526" max="527" width="0" style="486" hidden="1" customWidth="1"/>
    <col min="528" max="528" width="8" style="486" customWidth="1"/>
    <col min="529" max="529" width="30" style="486" customWidth="1"/>
    <col min="530" max="768" width="9.140625" style="486"/>
    <col min="769" max="769" width="11.42578125" style="486" bestFit="1" customWidth="1"/>
    <col min="770" max="777" width="9.140625" style="486"/>
    <col min="778" max="778" width="4" style="486" customWidth="1"/>
    <col min="779" max="779" width="10" style="486" customWidth="1"/>
    <col min="780" max="780" width="16.85546875" style="486" customWidth="1"/>
    <col min="781" max="781" width="6.85546875" style="486" customWidth="1"/>
    <col min="782" max="783" width="0" style="486" hidden="1" customWidth="1"/>
    <col min="784" max="784" width="8" style="486" customWidth="1"/>
    <col min="785" max="785" width="30" style="486" customWidth="1"/>
    <col min="786" max="1024" width="9.140625" style="486"/>
    <col min="1025" max="1025" width="11.42578125" style="486" bestFit="1" customWidth="1"/>
    <col min="1026" max="1033" width="9.140625" style="486"/>
    <col min="1034" max="1034" width="4" style="486" customWidth="1"/>
    <col min="1035" max="1035" width="10" style="486" customWidth="1"/>
    <col min="1036" max="1036" width="16.85546875" style="486" customWidth="1"/>
    <col min="1037" max="1037" width="6.85546875" style="486" customWidth="1"/>
    <col min="1038" max="1039" width="0" style="486" hidden="1" customWidth="1"/>
    <col min="1040" max="1040" width="8" style="486" customWidth="1"/>
    <col min="1041" max="1041" width="30" style="486" customWidth="1"/>
    <col min="1042" max="1280" width="9.140625" style="486"/>
    <col min="1281" max="1281" width="11.42578125" style="486" bestFit="1" customWidth="1"/>
    <col min="1282" max="1289" width="9.140625" style="486"/>
    <col min="1290" max="1290" width="4" style="486" customWidth="1"/>
    <col min="1291" max="1291" width="10" style="486" customWidth="1"/>
    <col min="1292" max="1292" width="16.85546875" style="486" customWidth="1"/>
    <col min="1293" max="1293" width="6.85546875" style="486" customWidth="1"/>
    <col min="1294" max="1295" width="0" style="486" hidden="1" customWidth="1"/>
    <col min="1296" max="1296" width="8" style="486" customWidth="1"/>
    <col min="1297" max="1297" width="30" style="486" customWidth="1"/>
    <col min="1298" max="1536" width="9.140625" style="486"/>
    <col min="1537" max="1537" width="11.42578125" style="486" bestFit="1" customWidth="1"/>
    <col min="1538" max="1545" width="9.140625" style="486"/>
    <col min="1546" max="1546" width="4" style="486" customWidth="1"/>
    <col min="1547" max="1547" width="10" style="486" customWidth="1"/>
    <col min="1548" max="1548" width="16.85546875" style="486" customWidth="1"/>
    <col min="1549" max="1549" width="6.85546875" style="486" customWidth="1"/>
    <col min="1550" max="1551" width="0" style="486" hidden="1" customWidth="1"/>
    <col min="1552" max="1552" width="8" style="486" customWidth="1"/>
    <col min="1553" max="1553" width="30" style="486" customWidth="1"/>
    <col min="1554" max="1792" width="9.140625" style="486"/>
    <col min="1793" max="1793" width="11.42578125" style="486" bestFit="1" customWidth="1"/>
    <col min="1794" max="1801" width="9.140625" style="486"/>
    <col min="1802" max="1802" width="4" style="486" customWidth="1"/>
    <col min="1803" max="1803" width="10" style="486" customWidth="1"/>
    <col min="1804" max="1804" width="16.85546875" style="486" customWidth="1"/>
    <col min="1805" max="1805" width="6.85546875" style="486" customWidth="1"/>
    <col min="1806" max="1807" width="0" style="486" hidden="1" customWidth="1"/>
    <col min="1808" max="1808" width="8" style="486" customWidth="1"/>
    <col min="1809" max="1809" width="30" style="486" customWidth="1"/>
    <col min="1810" max="2048" width="9.140625" style="486"/>
    <col min="2049" max="2049" width="11.42578125" style="486" bestFit="1" customWidth="1"/>
    <col min="2050" max="2057" width="9.140625" style="486"/>
    <col min="2058" max="2058" width="4" style="486" customWidth="1"/>
    <col min="2059" max="2059" width="10" style="486" customWidth="1"/>
    <col min="2060" max="2060" width="16.85546875" style="486" customWidth="1"/>
    <col min="2061" max="2061" width="6.85546875" style="486" customWidth="1"/>
    <col min="2062" max="2063" width="0" style="486" hidden="1" customWidth="1"/>
    <col min="2064" max="2064" width="8" style="486" customWidth="1"/>
    <col min="2065" max="2065" width="30" style="486" customWidth="1"/>
    <col min="2066" max="2304" width="9.140625" style="486"/>
    <col min="2305" max="2305" width="11.42578125" style="486" bestFit="1" customWidth="1"/>
    <col min="2306" max="2313" width="9.140625" style="486"/>
    <col min="2314" max="2314" width="4" style="486" customWidth="1"/>
    <col min="2315" max="2315" width="10" style="486" customWidth="1"/>
    <col min="2316" max="2316" width="16.85546875" style="486" customWidth="1"/>
    <col min="2317" max="2317" width="6.85546875" style="486" customWidth="1"/>
    <col min="2318" max="2319" width="0" style="486" hidden="1" customWidth="1"/>
    <col min="2320" max="2320" width="8" style="486" customWidth="1"/>
    <col min="2321" max="2321" width="30" style="486" customWidth="1"/>
    <col min="2322" max="2560" width="9.140625" style="486"/>
    <col min="2561" max="2561" width="11.42578125" style="486" bestFit="1" customWidth="1"/>
    <col min="2562" max="2569" width="9.140625" style="486"/>
    <col min="2570" max="2570" width="4" style="486" customWidth="1"/>
    <col min="2571" max="2571" width="10" style="486" customWidth="1"/>
    <col min="2572" max="2572" width="16.85546875" style="486" customWidth="1"/>
    <col min="2573" max="2573" width="6.85546875" style="486" customWidth="1"/>
    <col min="2574" max="2575" width="0" style="486" hidden="1" customWidth="1"/>
    <col min="2576" max="2576" width="8" style="486" customWidth="1"/>
    <col min="2577" max="2577" width="30" style="486" customWidth="1"/>
    <col min="2578" max="2816" width="9.140625" style="486"/>
    <col min="2817" max="2817" width="11.42578125" style="486" bestFit="1" customWidth="1"/>
    <col min="2818" max="2825" width="9.140625" style="486"/>
    <col min="2826" max="2826" width="4" style="486" customWidth="1"/>
    <col min="2827" max="2827" width="10" style="486" customWidth="1"/>
    <col min="2828" max="2828" width="16.85546875" style="486" customWidth="1"/>
    <col min="2829" max="2829" width="6.85546875" style="486" customWidth="1"/>
    <col min="2830" max="2831" width="0" style="486" hidden="1" customWidth="1"/>
    <col min="2832" max="2832" width="8" style="486" customWidth="1"/>
    <col min="2833" max="2833" width="30" style="486" customWidth="1"/>
    <col min="2834" max="3072" width="9.140625" style="486"/>
    <col min="3073" max="3073" width="11.42578125" style="486" bestFit="1" customWidth="1"/>
    <col min="3074" max="3081" width="9.140625" style="486"/>
    <col min="3082" max="3082" width="4" style="486" customWidth="1"/>
    <col min="3083" max="3083" width="10" style="486" customWidth="1"/>
    <col min="3084" max="3084" width="16.85546875" style="486" customWidth="1"/>
    <col min="3085" max="3085" width="6.85546875" style="486" customWidth="1"/>
    <col min="3086" max="3087" width="0" style="486" hidden="1" customWidth="1"/>
    <col min="3088" max="3088" width="8" style="486" customWidth="1"/>
    <col min="3089" max="3089" width="30" style="486" customWidth="1"/>
    <col min="3090" max="3328" width="9.140625" style="486"/>
    <col min="3329" max="3329" width="11.42578125" style="486" bestFit="1" customWidth="1"/>
    <col min="3330" max="3337" width="9.140625" style="486"/>
    <col min="3338" max="3338" width="4" style="486" customWidth="1"/>
    <col min="3339" max="3339" width="10" style="486" customWidth="1"/>
    <col min="3340" max="3340" width="16.85546875" style="486" customWidth="1"/>
    <col min="3341" max="3341" width="6.85546875" style="486" customWidth="1"/>
    <col min="3342" max="3343" width="0" style="486" hidden="1" customWidth="1"/>
    <col min="3344" max="3344" width="8" style="486" customWidth="1"/>
    <col min="3345" max="3345" width="30" style="486" customWidth="1"/>
    <col min="3346" max="3584" width="9.140625" style="486"/>
    <col min="3585" max="3585" width="11.42578125" style="486" bestFit="1" customWidth="1"/>
    <col min="3586" max="3593" width="9.140625" style="486"/>
    <col min="3594" max="3594" width="4" style="486" customWidth="1"/>
    <col min="3595" max="3595" width="10" style="486" customWidth="1"/>
    <col min="3596" max="3596" width="16.85546875" style="486" customWidth="1"/>
    <col min="3597" max="3597" width="6.85546875" style="486" customWidth="1"/>
    <col min="3598" max="3599" width="0" style="486" hidden="1" customWidth="1"/>
    <col min="3600" max="3600" width="8" style="486" customWidth="1"/>
    <col min="3601" max="3601" width="30" style="486" customWidth="1"/>
    <col min="3602" max="3840" width="9.140625" style="486"/>
    <col min="3841" max="3841" width="11.42578125" style="486" bestFit="1" customWidth="1"/>
    <col min="3842" max="3849" width="9.140625" style="486"/>
    <col min="3850" max="3850" width="4" style="486" customWidth="1"/>
    <col min="3851" max="3851" width="10" style="486" customWidth="1"/>
    <col min="3852" max="3852" width="16.85546875" style="486" customWidth="1"/>
    <col min="3853" max="3853" width="6.85546875" style="486" customWidth="1"/>
    <col min="3854" max="3855" width="0" style="486" hidden="1" customWidth="1"/>
    <col min="3856" max="3856" width="8" style="486" customWidth="1"/>
    <col min="3857" max="3857" width="30" style="486" customWidth="1"/>
    <col min="3858" max="4096" width="9.140625" style="486"/>
    <col min="4097" max="4097" width="11.42578125" style="486" bestFit="1" customWidth="1"/>
    <col min="4098" max="4105" width="9.140625" style="486"/>
    <col min="4106" max="4106" width="4" style="486" customWidth="1"/>
    <col min="4107" max="4107" width="10" style="486" customWidth="1"/>
    <col min="4108" max="4108" width="16.85546875" style="486" customWidth="1"/>
    <col min="4109" max="4109" width="6.85546875" style="486" customWidth="1"/>
    <col min="4110" max="4111" width="0" style="486" hidden="1" customWidth="1"/>
    <col min="4112" max="4112" width="8" style="486" customWidth="1"/>
    <col min="4113" max="4113" width="30" style="486" customWidth="1"/>
    <col min="4114" max="4352" width="9.140625" style="486"/>
    <col min="4353" max="4353" width="11.42578125" style="486" bestFit="1" customWidth="1"/>
    <col min="4354" max="4361" width="9.140625" style="486"/>
    <col min="4362" max="4362" width="4" style="486" customWidth="1"/>
    <col min="4363" max="4363" width="10" style="486" customWidth="1"/>
    <col min="4364" max="4364" width="16.85546875" style="486" customWidth="1"/>
    <col min="4365" max="4365" width="6.85546875" style="486" customWidth="1"/>
    <col min="4366" max="4367" width="0" style="486" hidden="1" customWidth="1"/>
    <col min="4368" max="4368" width="8" style="486" customWidth="1"/>
    <col min="4369" max="4369" width="30" style="486" customWidth="1"/>
    <col min="4370" max="4608" width="9.140625" style="486"/>
    <col min="4609" max="4609" width="11.42578125" style="486" bestFit="1" customWidth="1"/>
    <col min="4610" max="4617" width="9.140625" style="486"/>
    <col min="4618" max="4618" width="4" style="486" customWidth="1"/>
    <col min="4619" max="4619" width="10" style="486" customWidth="1"/>
    <col min="4620" max="4620" width="16.85546875" style="486" customWidth="1"/>
    <col min="4621" max="4621" width="6.85546875" style="486" customWidth="1"/>
    <col min="4622" max="4623" width="0" style="486" hidden="1" customWidth="1"/>
    <col min="4624" max="4624" width="8" style="486" customWidth="1"/>
    <col min="4625" max="4625" width="30" style="486" customWidth="1"/>
    <col min="4626" max="4864" width="9.140625" style="486"/>
    <col min="4865" max="4865" width="11.42578125" style="486" bestFit="1" customWidth="1"/>
    <col min="4866" max="4873" width="9.140625" style="486"/>
    <col min="4874" max="4874" width="4" style="486" customWidth="1"/>
    <col min="4875" max="4875" width="10" style="486" customWidth="1"/>
    <col min="4876" max="4876" width="16.85546875" style="486" customWidth="1"/>
    <col min="4877" max="4877" width="6.85546875" style="486" customWidth="1"/>
    <col min="4878" max="4879" width="0" style="486" hidden="1" customWidth="1"/>
    <col min="4880" max="4880" width="8" style="486" customWidth="1"/>
    <col min="4881" max="4881" width="30" style="486" customWidth="1"/>
    <col min="4882" max="5120" width="9.140625" style="486"/>
    <col min="5121" max="5121" width="11.42578125" style="486" bestFit="1" customWidth="1"/>
    <col min="5122" max="5129" width="9.140625" style="486"/>
    <col min="5130" max="5130" width="4" style="486" customWidth="1"/>
    <col min="5131" max="5131" width="10" style="486" customWidth="1"/>
    <col min="5132" max="5132" width="16.85546875" style="486" customWidth="1"/>
    <col min="5133" max="5133" width="6.85546875" style="486" customWidth="1"/>
    <col min="5134" max="5135" width="0" style="486" hidden="1" customWidth="1"/>
    <col min="5136" max="5136" width="8" style="486" customWidth="1"/>
    <col min="5137" max="5137" width="30" style="486" customWidth="1"/>
    <col min="5138" max="5376" width="9.140625" style="486"/>
    <col min="5377" max="5377" width="11.42578125" style="486" bestFit="1" customWidth="1"/>
    <col min="5378" max="5385" width="9.140625" style="486"/>
    <col min="5386" max="5386" width="4" style="486" customWidth="1"/>
    <col min="5387" max="5387" width="10" style="486" customWidth="1"/>
    <col min="5388" max="5388" width="16.85546875" style="486" customWidth="1"/>
    <col min="5389" max="5389" width="6.85546875" style="486" customWidth="1"/>
    <col min="5390" max="5391" width="0" style="486" hidden="1" customWidth="1"/>
    <col min="5392" max="5392" width="8" style="486" customWidth="1"/>
    <col min="5393" max="5393" width="30" style="486" customWidth="1"/>
    <col min="5394" max="5632" width="9.140625" style="486"/>
    <col min="5633" max="5633" width="11.42578125" style="486" bestFit="1" customWidth="1"/>
    <col min="5634" max="5641" width="9.140625" style="486"/>
    <col min="5642" max="5642" width="4" style="486" customWidth="1"/>
    <col min="5643" max="5643" width="10" style="486" customWidth="1"/>
    <col min="5644" max="5644" width="16.85546875" style="486" customWidth="1"/>
    <col min="5645" max="5645" width="6.85546875" style="486" customWidth="1"/>
    <col min="5646" max="5647" width="0" style="486" hidden="1" customWidth="1"/>
    <col min="5648" max="5648" width="8" style="486" customWidth="1"/>
    <col min="5649" max="5649" width="30" style="486" customWidth="1"/>
    <col min="5650" max="5888" width="9.140625" style="486"/>
    <col min="5889" max="5889" width="11.42578125" style="486" bestFit="1" customWidth="1"/>
    <col min="5890" max="5897" width="9.140625" style="486"/>
    <col min="5898" max="5898" width="4" style="486" customWidth="1"/>
    <col min="5899" max="5899" width="10" style="486" customWidth="1"/>
    <col min="5900" max="5900" width="16.85546875" style="486" customWidth="1"/>
    <col min="5901" max="5901" width="6.85546875" style="486" customWidth="1"/>
    <col min="5902" max="5903" width="0" style="486" hidden="1" customWidth="1"/>
    <col min="5904" max="5904" width="8" style="486" customWidth="1"/>
    <col min="5905" max="5905" width="30" style="486" customWidth="1"/>
    <col min="5906" max="6144" width="9.140625" style="486"/>
    <col min="6145" max="6145" width="11.42578125" style="486" bestFit="1" customWidth="1"/>
    <col min="6146" max="6153" width="9.140625" style="486"/>
    <col min="6154" max="6154" width="4" style="486" customWidth="1"/>
    <col min="6155" max="6155" width="10" style="486" customWidth="1"/>
    <col min="6156" max="6156" width="16.85546875" style="486" customWidth="1"/>
    <col min="6157" max="6157" width="6.85546875" style="486" customWidth="1"/>
    <col min="6158" max="6159" width="0" style="486" hidden="1" customWidth="1"/>
    <col min="6160" max="6160" width="8" style="486" customWidth="1"/>
    <col min="6161" max="6161" width="30" style="486" customWidth="1"/>
    <col min="6162" max="6400" width="9.140625" style="486"/>
    <col min="6401" max="6401" width="11.42578125" style="486" bestFit="1" customWidth="1"/>
    <col min="6402" max="6409" width="9.140625" style="486"/>
    <col min="6410" max="6410" width="4" style="486" customWidth="1"/>
    <col min="6411" max="6411" width="10" style="486" customWidth="1"/>
    <col min="6412" max="6412" width="16.85546875" style="486" customWidth="1"/>
    <col min="6413" max="6413" width="6.85546875" style="486" customWidth="1"/>
    <col min="6414" max="6415" width="0" style="486" hidden="1" customWidth="1"/>
    <col min="6416" max="6416" width="8" style="486" customWidth="1"/>
    <col min="6417" max="6417" width="30" style="486" customWidth="1"/>
    <col min="6418" max="6656" width="9.140625" style="486"/>
    <col min="6657" max="6657" width="11.42578125" style="486" bestFit="1" customWidth="1"/>
    <col min="6658" max="6665" width="9.140625" style="486"/>
    <col min="6666" max="6666" width="4" style="486" customWidth="1"/>
    <col min="6667" max="6667" width="10" style="486" customWidth="1"/>
    <col min="6668" max="6668" width="16.85546875" style="486" customWidth="1"/>
    <col min="6669" max="6669" width="6.85546875" style="486" customWidth="1"/>
    <col min="6670" max="6671" width="0" style="486" hidden="1" customWidth="1"/>
    <col min="6672" max="6672" width="8" style="486" customWidth="1"/>
    <col min="6673" max="6673" width="30" style="486" customWidth="1"/>
    <col min="6674" max="6912" width="9.140625" style="486"/>
    <col min="6913" max="6913" width="11.42578125" style="486" bestFit="1" customWidth="1"/>
    <col min="6914" max="6921" width="9.140625" style="486"/>
    <col min="6922" max="6922" width="4" style="486" customWidth="1"/>
    <col min="6923" max="6923" width="10" style="486" customWidth="1"/>
    <col min="6924" max="6924" width="16.85546875" style="486" customWidth="1"/>
    <col min="6925" max="6925" width="6.85546875" style="486" customWidth="1"/>
    <col min="6926" max="6927" width="0" style="486" hidden="1" customWidth="1"/>
    <col min="6928" max="6928" width="8" style="486" customWidth="1"/>
    <col min="6929" max="6929" width="30" style="486" customWidth="1"/>
    <col min="6930" max="7168" width="9.140625" style="486"/>
    <col min="7169" max="7169" width="11.42578125" style="486" bestFit="1" customWidth="1"/>
    <col min="7170" max="7177" width="9.140625" style="486"/>
    <col min="7178" max="7178" width="4" style="486" customWidth="1"/>
    <col min="7179" max="7179" width="10" style="486" customWidth="1"/>
    <col min="7180" max="7180" width="16.85546875" style="486" customWidth="1"/>
    <col min="7181" max="7181" width="6.85546875" style="486" customWidth="1"/>
    <col min="7182" max="7183" width="0" style="486" hidden="1" customWidth="1"/>
    <col min="7184" max="7184" width="8" style="486" customWidth="1"/>
    <col min="7185" max="7185" width="30" style="486" customWidth="1"/>
    <col min="7186" max="7424" width="9.140625" style="486"/>
    <col min="7425" max="7425" width="11.42578125" style="486" bestFit="1" customWidth="1"/>
    <col min="7426" max="7433" width="9.140625" style="486"/>
    <col min="7434" max="7434" width="4" style="486" customWidth="1"/>
    <col min="7435" max="7435" width="10" style="486" customWidth="1"/>
    <col min="7436" max="7436" width="16.85546875" style="486" customWidth="1"/>
    <col min="7437" max="7437" width="6.85546875" style="486" customWidth="1"/>
    <col min="7438" max="7439" width="0" style="486" hidden="1" customWidth="1"/>
    <col min="7440" max="7440" width="8" style="486" customWidth="1"/>
    <col min="7441" max="7441" width="30" style="486" customWidth="1"/>
    <col min="7442" max="7680" width="9.140625" style="486"/>
    <col min="7681" max="7681" width="11.42578125" style="486" bestFit="1" customWidth="1"/>
    <col min="7682" max="7689" width="9.140625" style="486"/>
    <col min="7690" max="7690" width="4" style="486" customWidth="1"/>
    <col min="7691" max="7691" width="10" style="486" customWidth="1"/>
    <col min="7692" max="7692" width="16.85546875" style="486" customWidth="1"/>
    <col min="7693" max="7693" width="6.85546875" style="486" customWidth="1"/>
    <col min="7694" max="7695" width="0" style="486" hidden="1" customWidth="1"/>
    <col min="7696" max="7696" width="8" style="486" customWidth="1"/>
    <col min="7697" max="7697" width="30" style="486" customWidth="1"/>
    <col min="7698" max="7936" width="9.140625" style="486"/>
    <col min="7937" max="7937" width="11.42578125" style="486" bestFit="1" customWidth="1"/>
    <col min="7938" max="7945" width="9.140625" style="486"/>
    <col min="7946" max="7946" width="4" style="486" customWidth="1"/>
    <col min="7947" max="7947" width="10" style="486" customWidth="1"/>
    <col min="7948" max="7948" width="16.85546875" style="486" customWidth="1"/>
    <col min="7949" max="7949" width="6.85546875" style="486" customWidth="1"/>
    <col min="7950" max="7951" width="0" style="486" hidden="1" customWidth="1"/>
    <col min="7952" max="7952" width="8" style="486" customWidth="1"/>
    <col min="7953" max="7953" width="30" style="486" customWidth="1"/>
    <col min="7954" max="8192" width="9.140625" style="486"/>
    <col min="8193" max="8193" width="11.42578125" style="486" bestFit="1" customWidth="1"/>
    <col min="8194" max="8201" width="9.140625" style="486"/>
    <col min="8202" max="8202" width="4" style="486" customWidth="1"/>
    <col min="8203" max="8203" width="10" style="486" customWidth="1"/>
    <col min="8204" max="8204" width="16.85546875" style="486" customWidth="1"/>
    <col min="8205" max="8205" width="6.85546875" style="486" customWidth="1"/>
    <col min="8206" max="8207" width="0" style="486" hidden="1" customWidth="1"/>
    <col min="8208" max="8208" width="8" style="486" customWidth="1"/>
    <col min="8209" max="8209" width="30" style="486" customWidth="1"/>
    <col min="8210" max="8448" width="9.140625" style="486"/>
    <col min="8449" max="8449" width="11.42578125" style="486" bestFit="1" customWidth="1"/>
    <col min="8450" max="8457" width="9.140625" style="486"/>
    <col min="8458" max="8458" width="4" style="486" customWidth="1"/>
    <col min="8459" max="8459" width="10" style="486" customWidth="1"/>
    <col min="8460" max="8460" width="16.85546875" style="486" customWidth="1"/>
    <col min="8461" max="8461" width="6.85546875" style="486" customWidth="1"/>
    <col min="8462" max="8463" width="0" style="486" hidden="1" customWidth="1"/>
    <col min="8464" max="8464" width="8" style="486" customWidth="1"/>
    <col min="8465" max="8465" width="30" style="486" customWidth="1"/>
    <col min="8466" max="8704" width="9.140625" style="486"/>
    <col min="8705" max="8705" width="11.42578125" style="486" bestFit="1" customWidth="1"/>
    <col min="8706" max="8713" width="9.140625" style="486"/>
    <col min="8714" max="8714" width="4" style="486" customWidth="1"/>
    <col min="8715" max="8715" width="10" style="486" customWidth="1"/>
    <col min="8716" max="8716" width="16.85546875" style="486" customWidth="1"/>
    <col min="8717" max="8717" width="6.85546875" style="486" customWidth="1"/>
    <col min="8718" max="8719" width="0" style="486" hidden="1" customWidth="1"/>
    <col min="8720" max="8720" width="8" style="486" customWidth="1"/>
    <col min="8721" max="8721" width="30" style="486" customWidth="1"/>
    <col min="8722" max="8960" width="9.140625" style="486"/>
    <col min="8961" max="8961" width="11.42578125" style="486" bestFit="1" customWidth="1"/>
    <col min="8962" max="8969" width="9.140625" style="486"/>
    <col min="8970" max="8970" width="4" style="486" customWidth="1"/>
    <col min="8971" max="8971" width="10" style="486" customWidth="1"/>
    <col min="8972" max="8972" width="16.85546875" style="486" customWidth="1"/>
    <col min="8973" max="8973" width="6.85546875" style="486" customWidth="1"/>
    <col min="8974" max="8975" width="0" style="486" hidden="1" customWidth="1"/>
    <col min="8976" max="8976" width="8" style="486" customWidth="1"/>
    <col min="8977" max="8977" width="30" style="486" customWidth="1"/>
    <col min="8978" max="9216" width="9.140625" style="486"/>
    <col min="9217" max="9217" width="11.42578125" style="486" bestFit="1" customWidth="1"/>
    <col min="9218" max="9225" width="9.140625" style="486"/>
    <col min="9226" max="9226" width="4" style="486" customWidth="1"/>
    <col min="9227" max="9227" width="10" style="486" customWidth="1"/>
    <col min="9228" max="9228" width="16.85546875" style="486" customWidth="1"/>
    <col min="9229" max="9229" width="6.85546875" style="486" customWidth="1"/>
    <col min="9230" max="9231" width="0" style="486" hidden="1" customWidth="1"/>
    <col min="9232" max="9232" width="8" style="486" customWidth="1"/>
    <col min="9233" max="9233" width="30" style="486" customWidth="1"/>
    <col min="9234" max="9472" width="9.140625" style="486"/>
    <col min="9473" max="9473" width="11.42578125" style="486" bestFit="1" customWidth="1"/>
    <col min="9474" max="9481" width="9.140625" style="486"/>
    <col min="9482" max="9482" width="4" style="486" customWidth="1"/>
    <col min="9483" max="9483" width="10" style="486" customWidth="1"/>
    <col min="9484" max="9484" width="16.85546875" style="486" customWidth="1"/>
    <col min="9485" max="9485" width="6.85546875" style="486" customWidth="1"/>
    <col min="9486" max="9487" width="0" style="486" hidden="1" customWidth="1"/>
    <col min="9488" max="9488" width="8" style="486" customWidth="1"/>
    <col min="9489" max="9489" width="30" style="486" customWidth="1"/>
    <col min="9490" max="9728" width="9.140625" style="486"/>
    <col min="9729" max="9729" width="11.42578125" style="486" bestFit="1" customWidth="1"/>
    <col min="9730" max="9737" width="9.140625" style="486"/>
    <col min="9738" max="9738" width="4" style="486" customWidth="1"/>
    <col min="9739" max="9739" width="10" style="486" customWidth="1"/>
    <col min="9740" max="9740" width="16.85546875" style="486" customWidth="1"/>
    <col min="9741" max="9741" width="6.85546875" style="486" customWidth="1"/>
    <col min="9742" max="9743" width="0" style="486" hidden="1" customWidth="1"/>
    <col min="9744" max="9744" width="8" style="486" customWidth="1"/>
    <col min="9745" max="9745" width="30" style="486" customWidth="1"/>
    <col min="9746" max="9984" width="9.140625" style="486"/>
    <col min="9985" max="9985" width="11.42578125" style="486" bestFit="1" customWidth="1"/>
    <col min="9986" max="9993" width="9.140625" style="486"/>
    <col min="9994" max="9994" width="4" style="486" customWidth="1"/>
    <col min="9995" max="9995" width="10" style="486" customWidth="1"/>
    <col min="9996" max="9996" width="16.85546875" style="486" customWidth="1"/>
    <col min="9997" max="9997" width="6.85546875" style="486" customWidth="1"/>
    <col min="9998" max="9999" width="0" style="486" hidden="1" customWidth="1"/>
    <col min="10000" max="10000" width="8" style="486" customWidth="1"/>
    <col min="10001" max="10001" width="30" style="486" customWidth="1"/>
    <col min="10002" max="10240" width="9.140625" style="486"/>
    <col min="10241" max="10241" width="11.42578125" style="486" bestFit="1" customWidth="1"/>
    <col min="10242" max="10249" width="9.140625" style="486"/>
    <col min="10250" max="10250" width="4" style="486" customWidth="1"/>
    <col min="10251" max="10251" width="10" style="486" customWidth="1"/>
    <col min="10252" max="10252" width="16.85546875" style="486" customWidth="1"/>
    <col min="10253" max="10253" width="6.85546875" style="486" customWidth="1"/>
    <col min="10254" max="10255" width="0" style="486" hidden="1" customWidth="1"/>
    <col min="10256" max="10256" width="8" style="486" customWidth="1"/>
    <col min="10257" max="10257" width="30" style="486" customWidth="1"/>
    <col min="10258" max="10496" width="9.140625" style="486"/>
    <col min="10497" max="10497" width="11.42578125" style="486" bestFit="1" customWidth="1"/>
    <col min="10498" max="10505" width="9.140625" style="486"/>
    <col min="10506" max="10506" width="4" style="486" customWidth="1"/>
    <col min="10507" max="10507" width="10" style="486" customWidth="1"/>
    <col min="10508" max="10508" width="16.85546875" style="486" customWidth="1"/>
    <col min="10509" max="10509" width="6.85546875" style="486" customWidth="1"/>
    <col min="10510" max="10511" width="0" style="486" hidden="1" customWidth="1"/>
    <col min="10512" max="10512" width="8" style="486" customWidth="1"/>
    <col min="10513" max="10513" width="30" style="486" customWidth="1"/>
    <col min="10514" max="10752" width="9.140625" style="486"/>
    <col min="10753" max="10753" width="11.42578125" style="486" bestFit="1" customWidth="1"/>
    <col min="10754" max="10761" width="9.140625" style="486"/>
    <col min="10762" max="10762" width="4" style="486" customWidth="1"/>
    <col min="10763" max="10763" width="10" style="486" customWidth="1"/>
    <col min="10764" max="10764" width="16.85546875" style="486" customWidth="1"/>
    <col min="10765" max="10765" width="6.85546875" style="486" customWidth="1"/>
    <col min="10766" max="10767" width="0" style="486" hidden="1" customWidth="1"/>
    <col min="10768" max="10768" width="8" style="486" customWidth="1"/>
    <col min="10769" max="10769" width="30" style="486" customWidth="1"/>
    <col min="10770" max="11008" width="9.140625" style="486"/>
    <col min="11009" max="11009" width="11.42578125" style="486" bestFit="1" customWidth="1"/>
    <col min="11010" max="11017" width="9.140625" style="486"/>
    <col min="11018" max="11018" width="4" style="486" customWidth="1"/>
    <col min="11019" max="11019" width="10" style="486" customWidth="1"/>
    <col min="11020" max="11020" width="16.85546875" style="486" customWidth="1"/>
    <col min="11021" max="11021" width="6.85546875" style="486" customWidth="1"/>
    <col min="11022" max="11023" width="0" style="486" hidden="1" customWidth="1"/>
    <col min="11024" max="11024" width="8" style="486" customWidth="1"/>
    <col min="11025" max="11025" width="30" style="486" customWidth="1"/>
    <col min="11026" max="11264" width="9.140625" style="486"/>
    <col min="11265" max="11265" width="11.42578125" style="486" bestFit="1" customWidth="1"/>
    <col min="11266" max="11273" width="9.140625" style="486"/>
    <col min="11274" max="11274" width="4" style="486" customWidth="1"/>
    <col min="11275" max="11275" width="10" style="486" customWidth="1"/>
    <col min="11276" max="11276" width="16.85546875" style="486" customWidth="1"/>
    <col min="11277" max="11277" width="6.85546875" style="486" customWidth="1"/>
    <col min="11278" max="11279" width="0" style="486" hidden="1" customWidth="1"/>
    <col min="11280" max="11280" width="8" style="486" customWidth="1"/>
    <col min="11281" max="11281" width="30" style="486" customWidth="1"/>
    <col min="11282" max="11520" width="9.140625" style="486"/>
    <col min="11521" max="11521" width="11.42578125" style="486" bestFit="1" customWidth="1"/>
    <col min="11522" max="11529" width="9.140625" style="486"/>
    <col min="11530" max="11530" width="4" style="486" customWidth="1"/>
    <col min="11531" max="11531" width="10" style="486" customWidth="1"/>
    <col min="11532" max="11532" width="16.85546875" style="486" customWidth="1"/>
    <col min="11533" max="11533" width="6.85546875" style="486" customWidth="1"/>
    <col min="11534" max="11535" width="0" style="486" hidden="1" customWidth="1"/>
    <col min="11536" max="11536" width="8" style="486" customWidth="1"/>
    <col min="11537" max="11537" width="30" style="486" customWidth="1"/>
    <col min="11538" max="11776" width="9.140625" style="486"/>
    <col min="11777" max="11777" width="11.42578125" style="486" bestFit="1" customWidth="1"/>
    <col min="11778" max="11785" width="9.140625" style="486"/>
    <col min="11786" max="11786" width="4" style="486" customWidth="1"/>
    <col min="11787" max="11787" width="10" style="486" customWidth="1"/>
    <col min="11788" max="11788" width="16.85546875" style="486" customWidth="1"/>
    <col min="11789" max="11789" width="6.85546875" style="486" customWidth="1"/>
    <col min="11790" max="11791" width="0" style="486" hidden="1" customWidth="1"/>
    <col min="11792" max="11792" width="8" style="486" customWidth="1"/>
    <col min="11793" max="11793" width="30" style="486" customWidth="1"/>
    <col min="11794" max="12032" width="9.140625" style="486"/>
    <col min="12033" max="12033" width="11.42578125" style="486" bestFit="1" customWidth="1"/>
    <col min="12034" max="12041" width="9.140625" style="486"/>
    <col min="12042" max="12042" width="4" style="486" customWidth="1"/>
    <col min="12043" max="12043" width="10" style="486" customWidth="1"/>
    <col min="12044" max="12044" width="16.85546875" style="486" customWidth="1"/>
    <col min="12045" max="12045" width="6.85546875" style="486" customWidth="1"/>
    <col min="12046" max="12047" width="0" style="486" hidden="1" customWidth="1"/>
    <col min="12048" max="12048" width="8" style="486" customWidth="1"/>
    <col min="12049" max="12049" width="30" style="486" customWidth="1"/>
    <col min="12050" max="12288" width="9.140625" style="486"/>
    <col min="12289" max="12289" width="11.42578125" style="486" bestFit="1" customWidth="1"/>
    <col min="12290" max="12297" width="9.140625" style="486"/>
    <col min="12298" max="12298" width="4" style="486" customWidth="1"/>
    <col min="12299" max="12299" width="10" style="486" customWidth="1"/>
    <col min="12300" max="12300" width="16.85546875" style="486" customWidth="1"/>
    <col min="12301" max="12301" width="6.85546875" style="486" customWidth="1"/>
    <col min="12302" max="12303" width="0" style="486" hidden="1" customWidth="1"/>
    <col min="12304" max="12304" width="8" style="486" customWidth="1"/>
    <col min="12305" max="12305" width="30" style="486" customWidth="1"/>
    <col min="12306" max="12544" width="9.140625" style="486"/>
    <col min="12545" max="12545" width="11.42578125" style="486" bestFit="1" customWidth="1"/>
    <col min="12546" max="12553" width="9.140625" style="486"/>
    <col min="12554" max="12554" width="4" style="486" customWidth="1"/>
    <col min="12555" max="12555" width="10" style="486" customWidth="1"/>
    <col min="12556" max="12556" width="16.85546875" style="486" customWidth="1"/>
    <col min="12557" max="12557" width="6.85546875" style="486" customWidth="1"/>
    <col min="12558" max="12559" width="0" style="486" hidden="1" customWidth="1"/>
    <col min="12560" max="12560" width="8" style="486" customWidth="1"/>
    <col min="12561" max="12561" width="30" style="486" customWidth="1"/>
    <col min="12562" max="12800" width="9.140625" style="486"/>
    <col min="12801" max="12801" width="11.42578125" style="486" bestFit="1" customWidth="1"/>
    <col min="12802" max="12809" width="9.140625" style="486"/>
    <col min="12810" max="12810" width="4" style="486" customWidth="1"/>
    <col min="12811" max="12811" width="10" style="486" customWidth="1"/>
    <col min="12812" max="12812" width="16.85546875" style="486" customWidth="1"/>
    <col min="12813" max="12813" width="6.85546875" style="486" customWidth="1"/>
    <col min="12814" max="12815" width="0" style="486" hidden="1" customWidth="1"/>
    <col min="12816" max="12816" width="8" style="486" customWidth="1"/>
    <col min="12817" max="12817" width="30" style="486" customWidth="1"/>
    <col min="12818" max="13056" width="9.140625" style="486"/>
    <col min="13057" max="13057" width="11.42578125" style="486" bestFit="1" customWidth="1"/>
    <col min="13058" max="13065" width="9.140625" style="486"/>
    <col min="13066" max="13066" width="4" style="486" customWidth="1"/>
    <col min="13067" max="13067" width="10" style="486" customWidth="1"/>
    <col min="13068" max="13068" width="16.85546875" style="486" customWidth="1"/>
    <col min="13069" max="13069" width="6.85546875" style="486" customWidth="1"/>
    <col min="13070" max="13071" width="0" style="486" hidden="1" customWidth="1"/>
    <col min="13072" max="13072" width="8" style="486" customWidth="1"/>
    <col min="13073" max="13073" width="30" style="486" customWidth="1"/>
    <col min="13074" max="13312" width="9.140625" style="486"/>
    <col min="13313" max="13313" width="11.42578125" style="486" bestFit="1" customWidth="1"/>
    <col min="13314" max="13321" width="9.140625" style="486"/>
    <col min="13322" max="13322" width="4" style="486" customWidth="1"/>
    <col min="13323" max="13323" width="10" style="486" customWidth="1"/>
    <col min="13324" max="13324" width="16.85546875" style="486" customWidth="1"/>
    <col min="13325" max="13325" width="6.85546875" style="486" customWidth="1"/>
    <col min="13326" max="13327" width="0" style="486" hidden="1" customWidth="1"/>
    <col min="13328" max="13328" width="8" style="486" customWidth="1"/>
    <col min="13329" max="13329" width="30" style="486" customWidth="1"/>
    <col min="13330" max="13568" width="9.140625" style="486"/>
    <col min="13569" max="13569" width="11.42578125" style="486" bestFit="1" customWidth="1"/>
    <col min="13570" max="13577" width="9.140625" style="486"/>
    <col min="13578" max="13578" width="4" style="486" customWidth="1"/>
    <col min="13579" max="13579" width="10" style="486" customWidth="1"/>
    <col min="13580" max="13580" width="16.85546875" style="486" customWidth="1"/>
    <col min="13581" max="13581" width="6.85546875" style="486" customWidth="1"/>
    <col min="13582" max="13583" width="0" style="486" hidden="1" customWidth="1"/>
    <col min="13584" max="13584" width="8" style="486" customWidth="1"/>
    <col min="13585" max="13585" width="30" style="486" customWidth="1"/>
    <col min="13586" max="13824" width="9.140625" style="486"/>
    <col min="13825" max="13825" width="11.42578125" style="486" bestFit="1" customWidth="1"/>
    <col min="13826" max="13833" width="9.140625" style="486"/>
    <col min="13834" max="13834" width="4" style="486" customWidth="1"/>
    <col min="13835" max="13835" width="10" style="486" customWidth="1"/>
    <col min="13836" max="13836" width="16.85546875" style="486" customWidth="1"/>
    <col min="13837" max="13837" width="6.85546875" style="486" customWidth="1"/>
    <col min="13838" max="13839" width="0" style="486" hidden="1" customWidth="1"/>
    <col min="13840" max="13840" width="8" style="486" customWidth="1"/>
    <col min="13841" max="13841" width="30" style="486" customWidth="1"/>
    <col min="13842" max="14080" width="9.140625" style="486"/>
    <col min="14081" max="14081" width="11.42578125" style="486" bestFit="1" customWidth="1"/>
    <col min="14082" max="14089" width="9.140625" style="486"/>
    <col min="14090" max="14090" width="4" style="486" customWidth="1"/>
    <col min="14091" max="14091" width="10" style="486" customWidth="1"/>
    <col min="14092" max="14092" width="16.85546875" style="486" customWidth="1"/>
    <col min="14093" max="14093" width="6.85546875" style="486" customWidth="1"/>
    <col min="14094" max="14095" width="0" style="486" hidden="1" customWidth="1"/>
    <col min="14096" max="14096" width="8" style="486" customWidth="1"/>
    <col min="14097" max="14097" width="30" style="486" customWidth="1"/>
    <col min="14098" max="14336" width="9.140625" style="486"/>
    <col min="14337" max="14337" width="11.42578125" style="486" bestFit="1" customWidth="1"/>
    <col min="14338" max="14345" width="9.140625" style="486"/>
    <col min="14346" max="14346" width="4" style="486" customWidth="1"/>
    <col min="14347" max="14347" width="10" style="486" customWidth="1"/>
    <col min="14348" max="14348" width="16.85546875" style="486" customWidth="1"/>
    <col min="14349" max="14349" width="6.85546875" style="486" customWidth="1"/>
    <col min="14350" max="14351" width="0" style="486" hidden="1" customWidth="1"/>
    <col min="14352" max="14352" width="8" style="486" customWidth="1"/>
    <col min="14353" max="14353" width="30" style="486" customWidth="1"/>
    <col min="14354" max="14592" width="9.140625" style="486"/>
    <col min="14593" max="14593" width="11.42578125" style="486" bestFit="1" customWidth="1"/>
    <col min="14594" max="14601" width="9.140625" style="486"/>
    <col min="14602" max="14602" width="4" style="486" customWidth="1"/>
    <col min="14603" max="14603" width="10" style="486" customWidth="1"/>
    <col min="14604" max="14604" width="16.85546875" style="486" customWidth="1"/>
    <col min="14605" max="14605" width="6.85546875" style="486" customWidth="1"/>
    <col min="14606" max="14607" width="0" style="486" hidden="1" customWidth="1"/>
    <col min="14608" max="14608" width="8" style="486" customWidth="1"/>
    <col min="14609" max="14609" width="30" style="486" customWidth="1"/>
    <col min="14610" max="14848" width="9.140625" style="486"/>
    <col min="14849" max="14849" width="11.42578125" style="486" bestFit="1" customWidth="1"/>
    <col min="14850" max="14857" width="9.140625" style="486"/>
    <col min="14858" max="14858" width="4" style="486" customWidth="1"/>
    <col min="14859" max="14859" width="10" style="486" customWidth="1"/>
    <col min="14860" max="14860" width="16.85546875" style="486" customWidth="1"/>
    <col min="14861" max="14861" width="6.85546875" style="486" customWidth="1"/>
    <col min="14862" max="14863" width="0" style="486" hidden="1" customWidth="1"/>
    <col min="14864" max="14864" width="8" style="486" customWidth="1"/>
    <col min="14865" max="14865" width="30" style="486" customWidth="1"/>
    <col min="14866" max="15104" width="9.140625" style="486"/>
    <col min="15105" max="15105" width="11.42578125" style="486" bestFit="1" customWidth="1"/>
    <col min="15106" max="15113" width="9.140625" style="486"/>
    <col min="15114" max="15114" width="4" style="486" customWidth="1"/>
    <col min="15115" max="15115" width="10" style="486" customWidth="1"/>
    <col min="15116" max="15116" width="16.85546875" style="486" customWidth="1"/>
    <col min="15117" max="15117" width="6.85546875" style="486" customWidth="1"/>
    <col min="15118" max="15119" width="0" style="486" hidden="1" customWidth="1"/>
    <col min="15120" max="15120" width="8" style="486" customWidth="1"/>
    <col min="15121" max="15121" width="30" style="486" customWidth="1"/>
    <col min="15122" max="15360" width="9.140625" style="486"/>
    <col min="15361" max="15361" width="11.42578125" style="486" bestFit="1" customWidth="1"/>
    <col min="15362" max="15369" width="9.140625" style="486"/>
    <col min="15370" max="15370" width="4" style="486" customWidth="1"/>
    <col min="15371" max="15371" width="10" style="486" customWidth="1"/>
    <col min="15372" max="15372" width="16.85546875" style="486" customWidth="1"/>
    <col min="15373" max="15373" width="6.85546875" style="486" customWidth="1"/>
    <col min="15374" max="15375" width="0" style="486" hidden="1" customWidth="1"/>
    <col min="15376" max="15376" width="8" style="486" customWidth="1"/>
    <col min="15377" max="15377" width="30" style="486" customWidth="1"/>
    <col min="15378" max="15616" width="9.140625" style="486"/>
    <col min="15617" max="15617" width="11.42578125" style="486" bestFit="1" customWidth="1"/>
    <col min="15618" max="15625" width="9.140625" style="486"/>
    <col min="15626" max="15626" width="4" style="486" customWidth="1"/>
    <col min="15627" max="15627" width="10" style="486" customWidth="1"/>
    <col min="15628" max="15628" width="16.85546875" style="486" customWidth="1"/>
    <col min="15629" max="15629" width="6.85546875" style="486" customWidth="1"/>
    <col min="15630" max="15631" width="0" style="486" hidden="1" customWidth="1"/>
    <col min="15632" max="15632" width="8" style="486" customWidth="1"/>
    <col min="15633" max="15633" width="30" style="486" customWidth="1"/>
    <col min="15634" max="15872" width="9.140625" style="486"/>
    <col min="15873" max="15873" width="11.42578125" style="486" bestFit="1" customWidth="1"/>
    <col min="15874" max="15881" width="9.140625" style="486"/>
    <col min="15882" max="15882" width="4" style="486" customWidth="1"/>
    <col min="15883" max="15883" width="10" style="486" customWidth="1"/>
    <col min="15884" max="15884" width="16.85546875" style="486" customWidth="1"/>
    <col min="15885" max="15885" width="6.85546875" style="486" customWidth="1"/>
    <col min="15886" max="15887" width="0" style="486" hidden="1" customWidth="1"/>
    <col min="15888" max="15888" width="8" style="486" customWidth="1"/>
    <col min="15889" max="15889" width="30" style="486" customWidth="1"/>
    <col min="15890" max="16128" width="9.140625" style="486"/>
    <col min="16129" max="16129" width="11.42578125" style="486" bestFit="1" customWidth="1"/>
    <col min="16130" max="16137" width="9.140625" style="486"/>
    <col min="16138" max="16138" width="4" style="486" customWidth="1"/>
    <col min="16139" max="16139" width="10" style="486" customWidth="1"/>
    <col min="16140" max="16140" width="16.85546875" style="486" customWidth="1"/>
    <col min="16141" max="16141" width="6.85546875" style="486" customWidth="1"/>
    <col min="16142" max="16143" width="0" style="486" hidden="1" customWidth="1"/>
    <col min="16144" max="16144" width="8" style="486" customWidth="1"/>
    <col min="16145" max="16145" width="30" style="486" customWidth="1"/>
    <col min="16146" max="16384" width="9.140625" style="486"/>
  </cols>
  <sheetData>
    <row r="1" spans="1:18">
      <c r="A1" s="485" t="s">
        <v>738</v>
      </c>
      <c r="B1" s="1220" t="s">
        <v>314</v>
      </c>
      <c r="C1" s="1220"/>
      <c r="D1" s="1220"/>
      <c r="E1" s="1220"/>
      <c r="F1" s="1220"/>
      <c r="G1" s="1220"/>
      <c r="H1" s="1220"/>
      <c r="I1" s="1220"/>
    </row>
    <row r="2" spans="1:18">
      <c r="A2" s="487" t="s">
        <v>739</v>
      </c>
      <c r="B2" s="488">
        <v>1</v>
      </c>
      <c r="C2" s="488">
        <v>1.5</v>
      </c>
      <c r="D2" s="488">
        <v>2</v>
      </c>
      <c r="E2" s="488">
        <v>2.5</v>
      </c>
      <c r="F2" s="488">
        <v>3</v>
      </c>
      <c r="G2" s="488">
        <v>3.5</v>
      </c>
      <c r="H2" s="488">
        <v>4</v>
      </c>
      <c r="I2" s="488">
        <v>4.5</v>
      </c>
      <c r="K2" s="489"/>
      <c r="L2" s="489"/>
      <c r="M2" s="490"/>
      <c r="N2" s="491"/>
      <c r="O2" s="491"/>
      <c r="P2" s="492" t="s">
        <v>693</v>
      </c>
      <c r="Q2" s="493"/>
    </row>
    <row r="3" spans="1:18">
      <c r="A3" s="488">
        <v>2</v>
      </c>
      <c r="B3" s="494">
        <v>0.99</v>
      </c>
      <c r="C3" s="494">
        <v>0.99</v>
      </c>
      <c r="D3" s="494">
        <v>0.96499999999999997</v>
      </c>
      <c r="E3" s="494">
        <v>0.91</v>
      </c>
      <c r="F3" s="494">
        <v>0.81100000000000005</v>
      </c>
      <c r="G3" s="494">
        <v>0.66100000000000003</v>
      </c>
      <c r="H3" s="494">
        <v>0.46899999999999997</v>
      </c>
      <c r="I3" s="494">
        <v>0.246</v>
      </c>
      <c r="K3" s="489"/>
      <c r="L3" s="489"/>
      <c r="M3" s="490"/>
      <c r="N3" s="491"/>
      <c r="O3" s="491"/>
      <c r="P3" s="486" t="s">
        <v>740</v>
      </c>
      <c r="Q3" s="493" t="s">
        <v>741</v>
      </c>
      <c r="R3" s="495">
        <v>0.09</v>
      </c>
    </row>
    <row r="4" spans="1:18">
      <c r="A4" s="488">
        <v>2.5</v>
      </c>
      <c r="B4" s="496">
        <v>0.98799999999999999</v>
      </c>
      <c r="C4" s="496">
        <v>0.98799999999999999</v>
      </c>
      <c r="D4" s="496">
        <v>0.96299999999999997</v>
      </c>
      <c r="E4" s="496">
        <v>0.90800000000000003</v>
      </c>
      <c r="F4" s="496">
        <v>0.80900000000000005</v>
      </c>
      <c r="G4" s="496">
        <v>0.66</v>
      </c>
      <c r="H4" s="496">
        <v>0.46800000000000003</v>
      </c>
      <c r="I4" s="496">
        <v>0.246</v>
      </c>
      <c r="K4" s="489"/>
      <c r="L4" s="489"/>
      <c r="M4" s="490"/>
      <c r="N4" s="491"/>
      <c r="O4" s="491"/>
      <c r="P4" s="486" t="s">
        <v>742</v>
      </c>
      <c r="Q4" s="493" t="s">
        <v>743</v>
      </c>
      <c r="R4" s="495">
        <v>0.156</v>
      </c>
    </row>
    <row r="5" spans="1:18">
      <c r="A5" s="488">
        <v>3</v>
      </c>
      <c r="B5" s="496">
        <v>0.98499999999999999</v>
      </c>
      <c r="C5" s="496">
        <v>0.98499999999999999</v>
      </c>
      <c r="D5" s="496">
        <v>0.96</v>
      </c>
      <c r="E5" s="496">
        <v>0.90500000000000003</v>
      </c>
      <c r="F5" s="496">
        <v>0.80700000000000005</v>
      </c>
      <c r="G5" s="496">
        <v>0.65800000000000003</v>
      </c>
      <c r="H5" s="496">
        <v>0.46700000000000003</v>
      </c>
      <c r="I5" s="496">
        <v>0.245</v>
      </c>
      <c r="K5" s="489"/>
      <c r="L5" s="489"/>
      <c r="M5" s="497"/>
      <c r="N5" s="491"/>
      <c r="O5" s="491"/>
      <c r="P5" s="486" t="s">
        <v>744</v>
      </c>
      <c r="Q5" s="493" t="s">
        <v>745</v>
      </c>
      <c r="R5" s="495">
        <v>0.42</v>
      </c>
    </row>
    <row r="6" spans="1:18">
      <c r="A6" s="488">
        <v>3.5</v>
      </c>
      <c r="B6" s="496">
        <v>0.98199999999999998</v>
      </c>
      <c r="C6" s="496">
        <v>0.98199999999999998</v>
      </c>
      <c r="D6" s="496">
        <v>0.95799999999999996</v>
      </c>
      <c r="E6" s="496">
        <v>0.90300000000000002</v>
      </c>
      <c r="F6" s="496">
        <v>0.80500000000000005</v>
      </c>
      <c r="G6" s="496">
        <v>0.65600000000000003</v>
      </c>
      <c r="H6" s="496">
        <v>0.46600000000000003</v>
      </c>
      <c r="I6" s="496">
        <v>0.24399999999999999</v>
      </c>
      <c r="K6" s="493"/>
      <c r="L6" s="493"/>
      <c r="M6" s="493"/>
      <c r="N6" s="493"/>
      <c r="O6" s="493"/>
      <c r="P6" s="486" t="s">
        <v>746</v>
      </c>
      <c r="Q6" s="493" t="s">
        <v>747</v>
      </c>
      <c r="R6" s="495">
        <v>0.57599999999999996</v>
      </c>
    </row>
    <row r="7" spans="1:18">
      <c r="A7" s="488">
        <v>4</v>
      </c>
      <c r="B7" s="496">
        <v>0.97899999999999998</v>
      </c>
      <c r="C7" s="496">
        <v>0.97899999999999998</v>
      </c>
      <c r="D7" s="496">
        <v>0.95499999999999996</v>
      </c>
      <c r="E7" s="496">
        <v>0.9</v>
      </c>
      <c r="F7" s="496">
        <v>0.80200000000000005</v>
      </c>
      <c r="G7" s="496">
        <v>0.65400000000000003</v>
      </c>
      <c r="H7" s="496">
        <v>0.46400000000000002</v>
      </c>
      <c r="I7" s="496">
        <v>0.24299999999999999</v>
      </c>
      <c r="K7" s="498"/>
      <c r="L7" s="498"/>
      <c r="M7" s="498"/>
      <c r="N7" s="498"/>
      <c r="O7" s="498"/>
      <c r="P7" s="486" t="s">
        <v>748</v>
      </c>
      <c r="Q7" s="499" t="s">
        <v>749</v>
      </c>
      <c r="R7" s="495">
        <v>0.78600000000000003</v>
      </c>
    </row>
    <row r="8" spans="1:18">
      <c r="A8" s="488">
        <v>4.5</v>
      </c>
      <c r="B8" s="496">
        <v>0.97699999999999998</v>
      </c>
      <c r="C8" s="496">
        <v>0.97699999999999998</v>
      </c>
      <c r="D8" s="496">
        <v>0.95299999999999996</v>
      </c>
      <c r="E8" s="496">
        <v>0.89800000000000002</v>
      </c>
      <c r="F8" s="496">
        <v>0.8</v>
      </c>
      <c r="G8" s="496">
        <v>0.65300000000000002</v>
      </c>
      <c r="H8" s="496">
        <v>0.46300000000000002</v>
      </c>
      <c r="I8" s="496">
        <v>0.24299999999999999</v>
      </c>
      <c r="K8" s="491"/>
      <c r="L8" s="500"/>
      <c r="M8" s="490"/>
      <c r="N8" s="491"/>
      <c r="O8" s="491"/>
      <c r="P8" s="486" t="s">
        <v>750</v>
      </c>
      <c r="Q8" s="501" t="s">
        <v>751</v>
      </c>
      <c r="R8" s="495">
        <v>1.056</v>
      </c>
    </row>
    <row r="9" spans="1:18">
      <c r="A9" s="488">
        <v>5</v>
      </c>
      <c r="B9" s="496">
        <v>0.97399999999999998</v>
      </c>
      <c r="C9" s="496">
        <v>0.97399999999999998</v>
      </c>
      <c r="D9" s="496">
        <v>0.95</v>
      </c>
      <c r="E9" s="496">
        <v>0.89500000000000002</v>
      </c>
      <c r="F9" s="496">
        <v>0.79800000000000004</v>
      </c>
      <c r="G9" s="496">
        <v>0.65100000000000002</v>
      </c>
      <c r="H9" s="496">
        <v>0.46200000000000002</v>
      </c>
      <c r="I9" s="496">
        <v>0.24199999999999999</v>
      </c>
      <c r="K9" s="491"/>
      <c r="L9" s="500"/>
      <c r="M9" s="490"/>
      <c r="N9" s="491"/>
      <c r="O9" s="491"/>
      <c r="P9" s="486" t="s">
        <v>705</v>
      </c>
      <c r="Q9" s="501" t="s">
        <v>752</v>
      </c>
      <c r="R9" s="495">
        <v>1.3859999999999999</v>
      </c>
    </row>
    <row r="10" spans="1:18">
      <c r="A10" s="488">
        <v>5.5</v>
      </c>
      <c r="B10" s="496">
        <v>0.97099999999999997</v>
      </c>
      <c r="C10" s="496">
        <v>0.97099999999999997</v>
      </c>
      <c r="D10" s="496">
        <v>0.94699999999999995</v>
      </c>
      <c r="E10" s="496">
        <v>0.89300000000000002</v>
      </c>
      <c r="F10" s="496">
        <v>0.79600000000000004</v>
      </c>
      <c r="G10" s="496">
        <v>0.64900000000000002</v>
      </c>
      <c r="H10" s="496">
        <v>0.46100000000000002</v>
      </c>
      <c r="I10" s="496">
        <v>0.24099999999999999</v>
      </c>
      <c r="K10" s="491"/>
      <c r="L10" s="500"/>
      <c r="M10" s="490"/>
      <c r="N10" s="491"/>
      <c r="O10" s="491"/>
      <c r="P10" s="486" t="s">
        <v>703</v>
      </c>
      <c r="Q10" s="501" t="s">
        <v>753</v>
      </c>
      <c r="R10" s="495">
        <v>1.776</v>
      </c>
    </row>
    <row r="11" spans="1:18">
      <c r="A11" s="488">
        <v>6</v>
      </c>
      <c r="B11" s="496">
        <v>0.96799999999999997</v>
      </c>
      <c r="C11" s="496">
        <v>0.96799999999999997</v>
      </c>
      <c r="D11" s="496">
        <v>0.94399999999999995</v>
      </c>
      <c r="E11" s="496">
        <v>0.89</v>
      </c>
      <c r="F11" s="496">
        <v>0.79300000000000004</v>
      </c>
      <c r="G11" s="496">
        <v>0.64700000000000002</v>
      </c>
      <c r="H11" s="496">
        <v>0.45900000000000002</v>
      </c>
      <c r="I11" s="496">
        <v>0.24</v>
      </c>
      <c r="K11" s="491"/>
      <c r="L11" s="500"/>
      <c r="M11" s="490"/>
      <c r="N11" s="491"/>
      <c r="O11" s="491"/>
      <c r="P11" s="486" t="s">
        <v>754</v>
      </c>
      <c r="Q11" s="501" t="s">
        <v>755</v>
      </c>
      <c r="R11" s="495">
        <v>2.4359999999999999</v>
      </c>
    </row>
    <row r="12" spans="1:18">
      <c r="A12" s="488">
        <v>6.5</v>
      </c>
      <c r="B12" s="496">
        <v>0.96599999999999997</v>
      </c>
      <c r="C12" s="496">
        <v>0.96599999999999997</v>
      </c>
      <c r="D12" s="496">
        <v>0.94199999999999995</v>
      </c>
      <c r="E12" s="496">
        <v>0.88800000000000001</v>
      </c>
      <c r="F12" s="496">
        <v>0.79100000000000004</v>
      </c>
      <c r="G12" s="496">
        <v>0.64500000000000002</v>
      </c>
      <c r="H12" s="496">
        <v>0.45800000000000002</v>
      </c>
      <c r="I12" s="496">
        <v>0.24</v>
      </c>
      <c r="K12" s="491"/>
      <c r="L12" s="500"/>
      <c r="M12" s="490"/>
      <c r="N12" s="491"/>
      <c r="O12" s="491"/>
      <c r="P12" s="486" t="s">
        <v>756</v>
      </c>
      <c r="Q12" s="501" t="s">
        <v>757</v>
      </c>
      <c r="R12" s="495">
        <v>2.89</v>
      </c>
    </row>
    <row r="13" spans="1:18">
      <c r="A13" s="488">
        <v>7</v>
      </c>
      <c r="B13" s="496">
        <v>0.96299999999999997</v>
      </c>
      <c r="C13" s="496">
        <v>0.96299999999999997</v>
      </c>
      <c r="D13" s="496">
        <v>0.93899999999999995</v>
      </c>
      <c r="E13" s="496">
        <v>0.88500000000000001</v>
      </c>
      <c r="F13" s="496">
        <v>0.78900000000000003</v>
      </c>
      <c r="G13" s="496">
        <v>0.64300000000000002</v>
      </c>
      <c r="H13" s="496">
        <v>0.45700000000000002</v>
      </c>
      <c r="I13" s="496">
        <v>0.23899999999999999</v>
      </c>
      <c r="K13" s="491"/>
      <c r="L13" s="500"/>
      <c r="M13" s="490"/>
      <c r="N13" s="491"/>
      <c r="O13" s="491"/>
      <c r="P13" s="486" t="s">
        <v>758</v>
      </c>
      <c r="Q13" s="501" t="s">
        <v>759</v>
      </c>
      <c r="R13" s="495">
        <v>0.81</v>
      </c>
    </row>
    <row r="14" spans="1:18" ht="13.5" thickBot="1">
      <c r="A14" s="488">
        <v>7.5</v>
      </c>
      <c r="B14" s="496">
        <v>0.96</v>
      </c>
      <c r="C14" s="496">
        <v>0.96</v>
      </c>
      <c r="D14" s="496">
        <v>0.93600000000000005</v>
      </c>
      <c r="E14" s="496">
        <v>0.88200000000000001</v>
      </c>
      <c r="F14" s="496">
        <v>0.78700000000000003</v>
      </c>
      <c r="G14" s="496">
        <v>0.64100000000000001</v>
      </c>
      <c r="H14" s="496">
        <v>0.45600000000000002</v>
      </c>
      <c r="I14" s="496">
        <v>0.23799999999999999</v>
      </c>
      <c r="P14" s="486" t="s">
        <v>760</v>
      </c>
      <c r="Q14" s="502" t="s">
        <v>761</v>
      </c>
      <c r="R14" s="495">
        <v>1.266</v>
      </c>
    </row>
    <row r="15" spans="1:18">
      <c r="A15" s="488">
        <v>8</v>
      </c>
      <c r="B15" s="496">
        <v>0.95699999999999996</v>
      </c>
      <c r="C15" s="496">
        <v>0.95699999999999996</v>
      </c>
      <c r="D15" s="496">
        <v>0.93300000000000005</v>
      </c>
      <c r="E15" s="496">
        <v>0.879</v>
      </c>
      <c r="F15" s="496">
        <v>0.78400000000000003</v>
      </c>
      <c r="G15" s="496">
        <v>0.63900000000000001</v>
      </c>
      <c r="H15" s="496">
        <v>0.45400000000000001</v>
      </c>
      <c r="I15" s="496">
        <v>0.23699999999999999</v>
      </c>
      <c r="K15" s="503" t="s">
        <v>461</v>
      </c>
      <c r="L15" s="504" t="s">
        <v>762</v>
      </c>
      <c r="M15" s="505"/>
      <c r="N15" s="505"/>
      <c r="O15" s="505"/>
      <c r="P15" s="486" t="s">
        <v>763</v>
      </c>
      <c r="Q15" s="506" t="s">
        <v>764</v>
      </c>
      <c r="R15" s="495">
        <v>1.47</v>
      </c>
    </row>
    <row r="16" spans="1:18">
      <c r="A16" s="488">
        <v>8.5</v>
      </c>
      <c r="B16" s="496">
        <v>0.95399999999999996</v>
      </c>
      <c r="C16" s="496">
        <v>0.95399999999999996</v>
      </c>
      <c r="D16" s="496">
        <v>0.93</v>
      </c>
      <c r="E16" s="496">
        <v>0.877</v>
      </c>
      <c r="F16" s="496">
        <v>0.78200000000000003</v>
      </c>
      <c r="G16" s="496">
        <v>0.63700000000000001</v>
      </c>
      <c r="H16" s="496">
        <v>0.45300000000000001</v>
      </c>
      <c r="I16" s="496">
        <v>0.23699999999999999</v>
      </c>
      <c r="K16" s="507">
        <v>1</v>
      </c>
      <c r="L16" s="508" t="s">
        <v>765</v>
      </c>
      <c r="M16" s="509"/>
      <c r="N16" s="509"/>
      <c r="O16" s="509"/>
      <c r="P16" s="486" t="s">
        <v>766</v>
      </c>
      <c r="Q16" s="506" t="s">
        <v>767</v>
      </c>
      <c r="R16" s="495">
        <v>1.746</v>
      </c>
    </row>
    <row r="17" spans="1:18">
      <c r="A17" s="510">
        <v>9</v>
      </c>
      <c r="B17" s="511">
        <v>0.95099999999999996</v>
      </c>
      <c r="C17" s="511">
        <v>0.95099999999999996</v>
      </c>
      <c r="D17" s="511">
        <v>0.92700000000000005</v>
      </c>
      <c r="E17" s="511">
        <v>0.874</v>
      </c>
      <c r="F17" s="511">
        <v>0.77900000000000003</v>
      </c>
      <c r="G17" s="511">
        <v>0.63500000000000001</v>
      </c>
      <c r="H17" s="511">
        <v>0.45100000000000001</v>
      </c>
      <c r="I17" s="511">
        <v>0.23599999999999999</v>
      </c>
      <c r="K17" s="512">
        <v>1.5</v>
      </c>
      <c r="L17" s="508" t="s">
        <v>768</v>
      </c>
      <c r="M17" s="509"/>
      <c r="N17" s="509"/>
      <c r="O17" s="509"/>
      <c r="P17" s="486" t="s">
        <v>769</v>
      </c>
      <c r="Q17" s="506" t="s">
        <v>770</v>
      </c>
      <c r="R17" s="495">
        <v>1.9259999999999999</v>
      </c>
    </row>
    <row r="18" spans="1:18">
      <c r="A18" s="510">
        <v>9.5</v>
      </c>
      <c r="B18" s="511">
        <v>0.94799999999999995</v>
      </c>
      <c r="C18" s="511">
        <v>0.94799999999999995</v>
      </c>
      <c r="D18" s="511">
        <v>0.92400000000000004</v>
      </c>
      <c r="E18" s="511">
        <v>0.871</v>
      </c>
      <c r="F18" s="511">
        <v>0.77700000000000002</v>
      </c>
      <c r="G18" s="511">
        <v>0.63300000000000001</v>
      </c>
      <c r="H18" s="511">
        <v>0.45</v>
      </c>
      <c r="I18" s="511">
        <v>0.23499999999999999</v>
      </c>
      <c r="K18" s="507">
        <v>2</v>
      </c>
      <c r="L18" s="508" t="s">
        <v>5</v>
      </c>
      <c r="M18" s="509"/>
      <c r="N18" s="509"/>
      <c r="O18" s="509"/>
      <c r="P18" s="486" t="s">
        <v>771</v>
      </c>
      <c r="Q18" s="506" t="s">
        <v>772</v>
      </c>
      <c r="R18" s="495">
        <v>2.226</v>
      </c>
    </row>
    <row r="19" spans="1:18">
      <c r="A19" s="510">
        <v>10</v>
      </c>
      <c r="B19" s="511">
        <v>0.94499999999999995</v>
      </c>
      <c r="C19" s="511">
        <v>0.94499999999999995</v>
      </c>
      <c r="D19" s="511">
        <v>0.92100000000000004</v>
      </c>
      <c r="E19" s="511">
        <v>0.86799999999999999</v>
      </c>
      <c r="F19" s="511">
        <v>0.77400000000000002</v>
      </c>
      <c r="G19" s="511">
        <v>0.63100000000000001</v>
      </c>
      <c r="H19" s="511">
        <v>0.44800000000000001</v>
      </c>
      <c r="I19" s="511">
        <v>0.23400000000000001</v>
      </c>
      <c r="K19" s="512">
        <v>2.5</v>
      </c>
      <c r="L19" s="508" t="s">
        <v>773</v>
      </c>
      <c r="M19" s="509"/>
      <c r="N19" s="509"/>
      <c r="O19" s="509"/>
      <c r="P19" s="486" t="s">
        <v>774</v>
      </c>
      <c r="Q19" s="506" t="s">
        <v>775</v>
      </c>
      <c r="R19" s="495">
        <v>2.4060000000000001</v>
      </c>
    </row>
    <row r="20" spans="1:18">
      <c r="A20" s="510">
        <v>10.5</v>
      </c>
      <c r="B20" s="511">
        <v>0.94199999999999995</v>
      </c>
      <c r="C20" s="511">
        <v>0.94199999999999995</v>
      </c>
      <c r="D20" s="511">
        <v>0.91800000000000004</v>
      </c>
      <c r="E20" s="511">
        <v>0.86599999999999999</v>
      </c>
      <c r="F20" s="511">
        <v>0.77200000000000002</v>
      </c>
      <c r="G20" s="511">
        <v>0.629</v>
      </c>
      <c r="H20" s="511">
        <v>0.44700000000000001</v>
      </c>
      <c r="I20" s="511">
        <v>0.23400000000000001</v>
      </c>
      <c r="J20" s="513"/>
      <c r="K20" s="507">
        <v>3</v>
      </c>
      <c r="L20" s="508" t="s">
        <v>6</v>
      </c>
      <c r="M20" s="509"/>
      <c r="N20" s="509"/>
      <c r="O20" s="509"/>
      <c r="P20" s="486" t="s">
        <v>776</v>
      </c>
      <c r="Q20" s="506" t="s">
        <v>777</v>
      </c>
      <c r="R20" s="495">
        <v>3.0659999999999998</v>
      </c>
    </row>
    <row r="21" spans="1:18">
      <c r="A21" s="510">
        <v>11</v>
      </c>
      <c r="B21" s="511">
        <v>0.93899999999999995</v>
      </c>
      <c r="C21" s="511">
        <v>0.93899999999999995</v>
      </c>
      <c r="D21" s="511">
        <v>0.91500000000000004</v>
      </c>
      <c r="E21" s="511">
        <v>0.86299999999999999</v>
      </c>
      <c r="F21" s="511">
        <v>0.76900000000000002</v>
      </c>
      <c r="G21" s="511">
        <v>0.627</v>
      </c>
      <c r="H21" s="511">
        <v>0.44500000000000001</v>
      </c>
      <c r="I21" s="511">
        <v>0.23300000000000001</v>
      </c>
      <c r="K21" s="512">
        <v>3.5</v>
      </c>
      <c r="L21" s="508" t="s">
        <v>778</v>
      </c>
      <c r="M21" s="509"/>
      <c r="N21" s="509"/>
      <c r="O21" s="509"/>
      <c r="P21" s="486" t="s">
        <v>779</v>
      </c>
      <c r="Q21" s="506" t="s">
        <v>780</v>
      </c>
      <c r="R21" s="495">
        <v>3.49</v>
      </c>
    </row>
    <row r="22" spans="1:18">
      <c r="A22" s="510">
        <v>11.5</v>
      </c>
      <c r="B22" s="511">
        <v>0.93600000000000005</v>
      </c>
      <c r="C22" s="511">
        <v>0.93600000000000005</v>
      </c>
      <c r="D22" s="511">
        <v>0.91200000000000003</v>
      </c>
      <c r="E22" s="511">
        <v>0.86</v>
      </c>
      <c r="F22" s="511">
        <v>0.76700000000000002</v>
      </c>
      <c r="G22" s="511">
        <v>0.625</v>
      </c>
      <c r="H22" s="511">
        <v>0.44400000000000001</v>
      </c>
      <c r="I22" s="511">
        <v>0.23200000000000001</v>
      </c>
      <c r="K22" s="507">
        <v>4</v>
      </c>
      <c r="L22" s="508" t="s">
        <v>781</v>
      </c>
      <c r="M22" s="509"/>
      <c r="N22" s="509"/>
      <c r="O22" s="509"/>
      <c r="P22" s="486" t="s">
        <v>782</v>
      </c>
      <c r="Q22" s="501" t="s">
        <v>783</v>
      </c>
      <c r="R22" s="495">
        <v>0.78</v>
      </c>
    </row>
    <row r="23" spans="1:18">
      <c r="A23" s="510">
        <v>12</v>
      </c>
      <c r="B23" s="511">
        <v>0.93300000000000005</v>
      </c>
      <c r="C23" s="511">
        <v>0.93300000000000005</v>
      </c>
      <c r="D23" s="511">
        <v>0.90900000000000003</v>
      </c>
      <c r="E23" s="511">
        <v>0.85699999999999998</v>
      </c>
      <c r="F23" s="511">
        <v>0.76400000000000001</v>
      </c>
      <c r="G23" s="511">
        <v>0.623</v>
      </c>
      <c r="H23" s="511">
        <v>0.442</v>
      </c>
      <c r="I23" s="511">
        <v>0.23100000000000001</v>
      </c>
      <c r="K23" s="512">
        <v>4.5</v>
      </c>
      <c r="L23" s="508" t="s">
        <v>784</v>
      </c>
      <c r="M23" s="509"/>
      <c r="N23" s="509"/>
      <c r="O23" s="509"/>
      <c r="P23" s="486" t="s">
        <v>785</v>
      </c>
      <c r="Q23" s="502" t="s">
        <v>786</v>
      </c>
      <c r="R23" s="495">
        <v>1.206</v>
      </c>
    </row>
    <row r="24" spans="1:18" ht="13.5" thickBot="1">
      <c r="A24" s="510">
        <v>12.5</v>
      </c>
      <c r="B24" s="511">
        <v>0.93</v>
      </c>
      <c r="C24" s="511">
        <v>0.93</v>
      </c>
      <c r="D24" s="511">
        <v>0.90600000000000003</v>
      </c>
      <c r="E24" s="511">
        <v>0.85499999999999998</v>
      </c>
      <c r="F24" s="511">
        <v>0.76200000000000001</v>
      </c>
      <c r="G24" s="511">
        <v>0.621</v>
      </c>
      <c r="H24" s="511">
        <v>0.441</v>
      </c>
      <c r="I24" s="511">
        <v>0.23100000000000001</v>
      </c>
      <c r="K24" s="514">
        <v>5</v>
      </c>
      <c r="L24" s="515" t="s">
        <v>787</v>
      </c>
      <c r="M24" s="509"/>
      <c r="N24" s="509"/>
      <c r="O24" s="509"/>
      <c r="P24" s="486" t="s">
        <v>788</v>
      </c>
      <c r="Q24" s="506" t="s">
        <v>789</v>
      </c>
      <c r="R24" s="495">
        <v>1.41</v>
      </c>
    </row>
    <row r="25" spans="1:18">
      <c r="A25" s="510">
        <v>13</v>
      </c>
      <c r="B25" s="511">
        <v>0.92700000000000005</v>
      </c>
      <c r="C25" s="511">
        <v>0.92700000000000005</v>
      </c>
      <c r="D25" s="511">
        <v>0.90300000000000002</v>
      </c>
      <c r="E25" s="511">
        <v>0.85199999999999998</v>
      </c>
      <c r="F25" s="511">
        <v>0.75900000000000001</v>
      </c>
      <c r="G25" s="511">
        <v>0.61899999999999999</v>
      </c>
      <c r="H25" s="511">
        <v>0.439</v>
      </c>
      <c r="I25" s="511">
        <v>0.23</v>
      </c>
      <c r="P25" s="486" t="s">
        <v>790</v>
      </c>
      <c r="Q25" s="506" t="s">
        <v>791</v>
      </c>
      <c r="R25" s="495">
        <v>1.6559999999999999</v>
      </c>
    </row>
    <row r="26" spans="1:18">
      <c r="A26" s="510">
        <v>13.5</v>
      </c>
      <c r="B26" s="511">
        <v>0.92400000000000004</v>
      </c>
      <c r="C26" s="511">
        <v>0.92400000000000004</v>
      </c>
      <c r="D26" s="511">
        <v>0.9</v>
      </c>
      <c r="E26" s="511">
        <v>0.84899999999999998</v>
      </c>
      <c r="F26" s="511">
        <v>0.75700000000000001</v>
      </c>
      <c r="G26" s="511">
        <v>0.61699999999999999</v>
      </c>
      <c r="H26" s="511">
        <v>0.438</v>
      </c>
      <c r="I26" s="511">
        <v>0.22900000000000001</v>
      </c>
      <c r="K26" s="516"/>
      <c r="L26" s="516"/>
      <c r="M26" s="516"/>
      <c r="N26" s="517"/>
      <c r="O26" s="517"/>
      <c r="P26" s="486" t="s">
        <v>792</v>
      </c>
      <c r="Q26" s="506" t="s">
        <v>793</v>
      </c>
      <c r="R26" s="495">
        <v>1.8360000000000001</v>
      </c>
    </row>
    <row r="27" spans="1:18">
      <c r="A27" s="510">
        <v>14</v>
      </c>
      <c r="B27" s="511">
        <v>0.92</v>
      </c>
      <c r="C27" s="511">
        <v>0.92</v>
      </c>
      <c r="D27" s="511">
        <v>0.89700000000000002</v>
      </c>
      <c r="E27" s="511">
        <v>0.84599999999999997</v>
      </c>
      <c r="F27" s="511">
        <v>0.754</v>
      </c>
      <c r="G27" s="511">
        <v>0.61499999999999999</v>
      </c>
      <c r="H27" s="511">
        <v>0.436</v>
      </c>
      <c r="I27" s="511">
        <v>0.22800000000000001</v>
      </c>
      <c r="K27" s="516"/>
      <c r="L27" s="516"/>
      <c r="M27" s="516"/>
      <c r="N27" s="517"/>
      <c r="O27" s="517"/>
      <c r="P27" s="486" t="s">
        <v>794</v>
      </c>
      <c r="Q27" s="506" t="s">
        <v>795</v>
      </c>
      <c r="R27" s="495">
        <v>2.0459999999999998</v>
      </c>
    </row>
    <row r="28" spans="1:18">
      <c r="A28" s="510">
        <v>14.5</v>
      </c>
      <c r="B28" s="511">
        <v>0.91700000000000004</v>
      </c>
      <c r="C28" s="511">
        <v>0.91700000000000004</v>
      </c>
      <c r="D28" s="511">
        <v>0.89400000000000002</v>
      </c>
      <c r="E28" s="511">
        <v>0.84299999999999997</v>
      </c>
      <c r="F28" s="511">
        <v>0.752</v>
      </c>
      <c r="G28" s="511">
        <v>0.61299999999999999</v>
      </c>
      <c r="H28" s="511">
        <v>0.435</v>
      </c>
      <c r="I28" s="511">
        <v>0.22800000000000001</v>
      </c>
      <c r="K28" s="518"/>
      <c r="L28" s="518"/>
      <c r="M28" s="518"/>
      <c r="N28" s="519"/>
      <c r="O28" s="519"/>
      <c r="P28" s="486" t="s">
        <v>796</v>
      </c>
      <c r="Q28" s="506" t="s">
        <v>797</v>
      </c>
      <c r="R28" s="495">
        <v>2.286</v>
      </c>
    </row>
    <row r="29" spans="1:18">
      <c r="A29" s="510">
        <v>15</v>
      </c>
      <c r="B29" s="511">
        <v>0.91400000000000003</v>
      </c>
      <c r="C29" s="511">
        <v>0.91400000000000003</v>
      </c>
      <c r="D29" s="511">
        <v>0.89100000000000001</v>
      </c>
      <c r="E29" s="511">
        <v>0.84</v>
      </c>
      <c r="F29" s="511">
        <v>0.749</v>
      </c>
      <c r="G29" s="511">
        <v>0.61099999999999999</v>
      </c>
      <c r="H29" s="511">
        <v>0.433</v>
      </c>
      <c r="I29" s="511">
        <v>0.22700000000000001</v>
      </c>
      <c r="K29" s="518"/>
      <c r="L29" s="518"/>
      <c r="M29" s="518"/>
      <c r="N29" s="519"/>
      <c r="O29" s="519"/>
      <c r="P29" s="486" t="s">
        <v>798</v>
      </c>
      <c r="Q29" s="506" t="s">
        <v>799</v>
      </c>
      <c r="R29" s="495">
        <v>3.0659999999999998</v>
      </c>
    </row>
    <row r="30" spans="1:18">
      <c r="A30" s="510">
        <v>15.5</v>
      </c>
      <c r="B30" s="511">
        <v>0.91100000000000003</v>
      </c>
      <c r="C30" s="511">
        <v>0.91100000000000003</v>
      </c>
      <c r="D30" s="511">
        <v>0.88800000000000001</v>
      </c>
      <c r="E30" s="511">
        <v>0.83699999999999997</v>
      </c>
      <c r="F30" s="511">
        <v>0.746</v>
      </c>
      <c r="G30" s="511">
        <v>0.60899999999999999</v>
      </c>
      <c r="H30" s="511">
        <v>0.432</v>
      </c>
      <c r="I30" s="511">
        <v>0.22600000000000001</v>
      </c>
      <c r="K30" s="518"/>
      <c r="L30" s="518"/>
      <c r="M30" s="518"/>
      <c r="N30" s="519"/>
      <c r="O30" s="519"/>
      <c r="P30" s="486" t="s">
        <v>800</v>
      </c>
      <c r="Q30" s="506" t="s">
        <v>801</v>
      </c>
      <c r="R30" s="495">
        <v>3.61</v>
      </c>
    </row>
    <row r="31" spans="1:18">
      <c r="A31" s="510">
        <v>16</v>
      </c>
      <c r="B31" s="511">
        <v>0.90700000000000003</v>
      </c>
      <c r="C31" s="511">
        <v>0.90700000000000003</v>
      </c>
      <c r="D31" s="511">
        <v>0.88400000000000001</v>
      </c>
      <c r="E31" s="511">
        <v>0.83399999999999996</v>
      </c>
      <c r="F31" s="511">
        <v>0.74299999999999999</v>
      </c>
      <c r="G31" s="511">
        <v>0.60599999999999998</v>
      </c>
      <c r="H31" s="511">
        <v>0.43</v>
      </c>
      <c r="I31" s="511">
        <v>0.22500000000000001</v>
      </c>
      <c r="K31" s="518"/>
      <c r="L31" s="518"/>
      <c r="M31" s="518"/>
      <c r="N31" s="519"/>
      <c r="O31" s="519"/>
      <c r="P31" s="486" t="s">
        <v>802</v>
      </c>
      <c r="Q31" s="506" t="s">
        <v>803</v>
      </c>
      <c r="R31" s="495">
        <v>0.36</v>
      </c>
    </row>
    <row r="32" spans="1:18">
      <c r="A32" s="510">
        <v>16.5</v>
      </c>
      <c r="B32" s="511">
        <v>0.90400000000000003</v>
      </c>
      <c r="C32" s="511">
        <v>0.90400000000000003</v>
      </c>
      <c r="D32" s="511">
        <v>0.88100000000000001</v>
      </c>
      <c r="E32" s="511">
        <v>0.83099999999999996</v>
      </c>
      <c r="F32" s="511">
        <v>0.74099999999999999</v>
      </c>
      <c r="G32" s="511">
        <v>0.60399999999999998</v>
      </c>
      <c r="H32" s="511">
        <v>0.42899999999999999</v>
      </c>
      <c r="I32" s="511">
        <v>0.22500000000000001</v>
      </c>
      <c r="K32" s="518"/>
      <c r="L32" s="518"/>
      <c r="M32" s="518"/>
      <c r="N32" s="519"/>
      <c r="O32" s="519"/>
      <c r="P32" s="486" t="s">
        <v>804</v>
      </c>
      <c r="Q32" s="506" t="s">
        <v>805</v>
      </c>
      <c r="R32" s="495">
        <v>0.72599999999999998</v>
      </c>
    </row>
    <row r="33" spans="1:18">
      <c r="A33" s="510">
        <v>17</v>
      </c>
      <c r="B33" s="511">
        <v>0.90100000000000002</v>
      </c>
      <c r="C33" s="511">
        <v>0.90100000000000002</v>
      </c>
      <c r="D33" s="511">
        <v>0.878</v>
      </c>
      <c r="E33" s="511">
        <v>0.82799999999999996</v>
      </c>
      <c r="F33" s="511">
        <v>0.73799999999999999</v>
      </c>
      <c r="G33" s="511">
        <v>0.60199999999999998</v>
      </c>
      <c r="H33" s="511">
        <v>0.42699999999999999</v>
      </c>
      <c r="I33" s="511">
        <v>0.224</v>
      </c>
      <c r="K33" s="518"/>
      <c r="L33" s="518"/>
      <c r="M33" s="518"/>
      <c r="N33" s="519"/>
      <c r="O33" s="519"/>
      <c r="P33" s="486" t="s">
        <v>806</v>
      </c>
      <c r="Q33" s="506" t="s">
        <v>807</v>
      </c>
      <c r="R33" s="495">
        <v>1.3260000000000001</v>
      </c>
    </row>
    <row r="34" spans="1:18">
      <c r="A34" s="510">
        <v>17.5</v>
      </c>
      <c r="B34" s="511">
        <v>0.89800000000000002</v>
      </c>
      <c r="C34" s="511">
        <v>0.89800000000000002</v>
      </c>
      <c r="D34" s="511">
        <v>0.875</v>
      </c>
      <c r="E34" s="511">
        <v>0.82499999999999996</v>
      </c>
      <c r="F34" s="511">
        <v>0.73499999999999999</v>
      </c>
      <c r="G34" s="511">
        <v>0.6</v>
      </c>
      <c r="H34" s="511">
        <v>0.42599999999999999</v>
      </c>
      <c r="I34" s="511">
        <v>0.223</v>
      </c>
      <c r="K34" s="518"/>
      <c r="L34" s="518"/>
      <c r="M34" s="518"/>
      <c r="N34" s="519"/>
      <c r="O34" s="519"/>
      <c r="P34" s="486" t="s">
        <v>808</v>
      </c>
      <c r="Q34" s="506" t="s">
        <v>809</v>
      </c>
      <c r="R34" s="495">
        <v>1.69</v>
      </c>
    </row>
    <row r="35" spans="1:18">
      <c r="A35" s="510">
        <v>18</v>
      </c>
      <c r="B35" s="511">
        <v>0.89400000000000002</v>
      </c>
      <c r="C35" s="511">
        <v>0.89400000000000002</v>
      </c>
      <c r="D35" s="511">
        <v>0.871</v>
      </c>
      <c r="E35" s="511">
        <v>0.82199999999999995</v>
      </c>
      <c r="F35" s="511">
        <v>0.73199999999999998</v>
      </c>
      <c r="G35" s="511">
        <v>0.59699999999999998</v>
      </c>
      <c r="H35" s="511">
        <v>0.42399999999999999</v>
      </c>
      <c r="I35" s="511">
        <v>0.222</v>
      </c>
      <c r="K35" s="518"/>
      <c r="L35" s="518"/>
      <c r="M35" s="518"/>
      <c r="N35" s="519"/>
      <c r="O35" s="519"/>
      <c r="P35" s="486" t="s">
        <v>810</v>
      </c>
      <c r="Q35" s="506" t="s">
        <v>811</v>
      </c>
      <c r="R35" s="495">
        <v>0.12</v>
      </c>
    </row>
    <row r="36" spans="1:18">
      <c r="A36" s="510">
        <v>18.5</v>
      </c>
      <c r="B36" s="511">
        <v>0.89100000000000001</v>
      </c>
      <c r="C36" s="511">
        <v>0.89100000000000001</v>
      </c>
      <c r="D36" s="511">
        <v>0.86799999999999999</v>
      </c>
      <c r="E36" s="511">
        <v>0.81899999999999995</v>
      </c>
      <c r="F36" s="511">
        <v>0.73</v>
      </c>
      <c r="G36" s="511">
        <v>0.59499999999999997</v>
      </c>
      <c r="H36" s="511">
        <v>0.42299999999999999</v>
      </c>
      <c r="I36" s="511">
        <v>0.221</v>
      </c>
      <c r="K36" s="518"/>
      <c r="L36" s="518"/>
      <c r="M36" s="518"/>
      <c r="N36" s="519"/>
      <c r="O36" s="519"/>
      <c r="P36" s="486" t="s">
        <v>812</v>
      </c>
      <c r="Q36" s="506" t="s">
        <v>813</v>
      </c>
      <c r="R36" s="495">
        <v>0.246</v>
      </c>
    </row>
    <row r="37" spans="1:18">
      <c r="A37" s="510">
        <v>19</v>
      </c>
      <c r="B37" s="511">
        <v>0.88700000000000001</v>
      </c>
      <c r="C37" s="511">
        <v>0.88700000000000001</v>
      </c>
      <c r="D37" s="511">
        <v>0.86499999999999999</v>
      </c>
      <c r="E37" s="511">
        <v>0.81599999999999995</v>
      </c>
      <c r="F37" s="511">
        <v>0.72699999999999998</v>
      </c>
      <c r="G37" s="511">
        <v>0.59299999999999997</v>
      </c>
      <c r="H37" s="511">
        <v>0.42099999999999999</v>
      </c>
      <c r="I37" s="511">
        <v>0.22</v>
      </c>
      <c r="K37" s="518"/>
      <c r="L37" s="518"/>
      <c r="M37" s="518"/>
      <c r="N37" s="519"/>
      <c r="O37" s="519"/>
      <c r="P37" s="486" t="s">
        <v>814</v>
      </c>
      <c r="Q37" s="506" t="s">
        <v>815</v>
      </c>
      <c r="R37" s="495">
        <v>0.45600000000000002</v>
      </c>
    </row>
    <row r="38" spans="1:18">
      <c r="A38" s="510">
        <v>19.5</v>
      </c>
      <c r="B38" s="511">
        <v>0.88400000000000001</v>
      </c>
      <c r="C38" s="511">
        <v>0.88400000000000001</v>
      </c>
      <c r="D38" s="511">
        <v>0.86199999999999999</v>
      </c>
      <c r="E38" s="511">
        <v>0.81299999999999994</v>
      </c>
      <c r="F38" s="511">
        <v>0.72399999999999998</v>
      </c>
      <c r="G38" s="511">
        <v>0.59099999999999997</v>
      </c>
      <c r="H38" s="511">
        <v>0.41899999999999998</v>
      </c>
      <c r="I38" s="511">
        <v>0.219</v>
      </c>
      <c r="K38" s="518"/>
      <c r="L38" s="518"/>
      <c r="M38" s="518"/>
      <c r="N38" s="519"/>
      <c r="O38" s="519"/>
      <c r="P38" s="518"/>
      <c r="Q38" s="518"/>
    </row>
    <row r="39" spans="1:18">
      <c r="A39" s="510">
        <v>20</v>
      </c>
      <c r="B39" s="511">
        <v>0.88</v>
      </c>
      <c r="C39" s="511">
        <v>0.88</v>
      </c>
      <c r="D39" s="511">
        <v>0.85799999999999998</v>
      </c>
      <c r="E39" s="511">
        <v>0.80900000000000005</v>
      </c>
      <c r="F39" s="511">
        <v>0.72099999999999997</v>
      </c>
      <c r="G39" s="511">
        <v>0.58799999999999997</v>
      </c>
      <c r="H39" s="511">
        <v>0.41699999999999998</v>
      </c>
      <c r="I39" s="511">
        <v>0.218</v>
      </c>
      <c r="K39" s="518"/>
      <c r="L39" s="518"/>
      <c r="M39" s="518"/>
      <c r="N39" s="519"/>
      <c r="O39" s="519"/>
      <c r="P39" s="518"/>
      <c r="Q39" s="518"/>
    </row>
    <row r="40" spans="1:18">
      <c r="A40" s="510">
        <v>20.5</v>
      </c>
      <c r="B40" s="511">
        <v>0.877</v>
      </c>
      <c r="C40" s="511">
        <v>0.877</v>
      </c>
      <c r="D40" s="511">
        <v>0.85499999999999998</v>
      </c>
      <c r="E40" s="511">
        <v>0.80600000000000005</v>
      </c>
      <c r="F40" s="511">
        <v>0.71799999999999997</v>
      </c>
      <c r="G40" s="511">
        <v>0.58599999999999997</v>
      </c>
      <c r="H40" s="511">
        <v>0.41599999999999998</v>
      </c>
      <c r="I40" s="511">
        <v>0.218</v>
      </c>
    </row>
    <row r="41" spans="1:18">
      <c r="A41" s="510">
        <v>21</v>
      </c>
      <c r="B41" s="511">
        <v>0.873</v>
      </c>
      <c r="C41" s="511">
        <v>0.873</v>
      </c>
      <c r="D41" s="511">
        <v>0.85099999999999998</v>
      </c>
      <c r="E41" s="511">
        <v>0.80300000000000005</v>
      </c>
      <c r="F41" s="511">
        <v>0.71499999999999997</v>
      </c>
      <c r="G41" s="511">
        <v>0.58299999999999996</v>
      </c>
      <c r="H41" s="511">
        <v>0.41399999999999998</v>
      </c>
      <c r="I41" s="511">
        <v>0.217</v>
      </c>
    </row>
    <row r="42" spans="1:18">
      <c r="A42" s="510">
        <v>21.5</v>
      </c>
      <c r="B42" s="511">
        <v>0.87</v>
      </c>
      <c r="C42" s="511">
        <v>0.87</v>
      </c>
      <c r="D42" s="511">
        <v>0.84799999999999998</v>
      </c>
      <c r="E42" s="511">
        <v>0.8</v>
      </c>
      <c r="F42" s="511">
        <v>0.71199999999999997</v>
      </c>
      <c r="G42" s="511">
        <v>0.58099999999999996</v>
      </c>
      <c r="H42" s="511">
        <v>0.41199999999999998</v>
      </c>
      <c r="I42" s="511">
        <v>0.216</v>
      </c>
    </row>
    <row r="43" spans="1:18">
      <c r="A43" s="510">
        <v>22</v>
      </c>
      <c r="B43" s="511">
        <v>0.86599999999999999</v>
      </c>
      <c r="C43" s="511">
        <v>0.86599999999999999</v>
      </c>
      <c r="D43" s="511">
        <v>0.84399999999999997</v>
      </c>
      <c r="E43" s="511">
        <v>0.79600000000000004</v>
      </c>
      <c r="F43" s="511">
        <v>0.70899999999999996</v>
      </c>
      <c r="G43" s="511">
        <v>0.57799999999999996</v>
      </c>
      <c r="H43" s="511">
        <v>0.41</v>
      </c>
      <c r="I43" s="511">
        <v>0.215</v>
      </c>
    </row>
    <row r="44" spans="1:18">
      <c r="A44" s="510">
        <v>22.5</v>
      </c>
      <c r="B44" s="511">
        <v>0.86299999999999999</v>
      </c>
      <c r="C44" s="511">
        <v>0.86299999999999999</v>
      </c>
      <c r="D44" s="511">
        <v>0.84099999999999997</v>
      </c>
      <c r="E44" s="511">
        <v>0.79300000000000004</v>
      </c>
      <c r="F44" s="511">
        <v>0.70599999999999996</v>
      </c>
      <c r="G44" s="511">
        <v>0.57599999999999996</v>
      </c>
      <c r="H44" s="511">
        <v>0.40899999999999997</v>
      </c>
      <c r="I44" s="511">
        <v>0.214</v>
      </c>
    </row>
    <row r="45" spans="1:18">
      <c r="A45" s="510">
        <v>23</v>
      </c>
      <c r="B45" s="511">
        <v>0.85899999999999999</v>
      </c>
      <c r="C45" s="511">
        <v>0.85899999999999999</v>
      </c>
      <c r="D45" s="511">
        <v>0.83699999999999997</v>
      </c>
      <c r="E45" s="511">
        <v>0.78900000000000003</v>
      </c>
      <c r="F45" s="511">
        <v>0.70299999999999996</v>
      </c>
      <c r="G45" s="511">
        <v>0.57399999999999995</v>
      </c>
      <c r="H45" s="511">
        <v>0.40699999999999997</v>
      </c>
      <c r="I45" s="511">
        <v>0.21299999999999999</v>
      </c>
    </row>
    <row r="46" spans="1:18">
      <c r="A46" s="510">
        <v>23.5</v>
      </c>
      <c r="B46" s="511">
        <v>0.85499999999999998</v>
      </c>
      <c r="C46" s="511">
        <v>0.85499999999999998</v>
      </c>
      <c r="D46" s="511">
        <v>0.83399999999999996</v>
      </c>
      <c r="E46" s="511">
        <v>0.78600000000000003</v>
      </c>
      <c r="F46" s="511">
        <v>0.7</v>
      </c>
      <c r="G46" s="511">
        <v>0.57199999999999995</v>
      </c>
      <c r="H46" s="511">
        <v>0.40600000000000003</v>
      </c>
      <c r="I46" s="511">
        <v>0.21199999999999999</v>
      </c>
    </row>
    <row r="47" spans="1:18">
      <c r="A47" s="510">
        <v>24</v>
      </c>
      <c r="B47" s="511">
        <v>0.85099999999999998</v>
      </c>
      <c r="C47" s="511">
        <v>0.85099999999999998</v>
      </c>
      <c r="D47" s="511">
        <v>0.83</v>
      </c>
      <c r="E47" s="511">
        <v>0.78200000000000003</v>
      </c>
      <c r="F47" s="511">
        <v>0.69699999999999995</v>
      </c>
      <c r="G47" s="511">
        <v>0.56899999999999995</v>
      </c>
      <c r="H47" s="511">
        <v>0.40400000000000003</v>
      </c>
      <c r="I47" s="511">
        <v>0.21099999999999999</v>
      </c>
    </row>
    <row r="48" spans="1:18">
      <c r="A48" s="510">
        <v>24.5</v>
      </c>
      <c r="B48" s="511">
        <v>0.84799999999999998</v>
      </c>
      <c r="C48" s="511">
        <v>0.84799999999999998</v>
      </c>
      <c r="D48" s="511">
        <v>0.82699999999999996</v>
      </c>
      <c r="E48" s="511">
        <v>0.77900000000000003</v>
      </c>
      <c r="F48" s="511">
        <v>0.69399999999999995</v>
      </c>
      <c r="G48" s="511">
        <v>0.56699999999999995</v>
      </c>
      <c r="H48" s="511">
        <v>0.40200000000000002</v>
      </c>
      <c r="I48" s="511">
        <v>0.21</v>
      </c>
    </row>
    <row r="49" spans="1:9">
      <c r="A49" s="510">
        <v>25</v>
      </c>
      <c r="B49" s="511">
        <v>0.84399999999999997</v>
      </c>
      <c r="C49" s="511">
        <v>0.84399999999999997</v>
      </c>
      <c r="D49" s="511">
        <v>0.82299999999999995</v>
      </c>
      <c r="E49" s="511">
        <v>0.77600000000000002</v>
      </c>
      <c r="F49" s="511">
        <v>0.69099999999999995</v>
      </c>
      <c r="G49" s="511">
        <v>0.56399999999999995</v>
      </c>
      <c r="H49" s="511">
        <v>0.4</v>
      </c>
      <c r="I49" s="511">
        <v>0.20899999999999999</v>
      </c>
    </row>
    <row r="50" spans="1:9">
      <c r="A50" s="510">
        <v>25.5</v>
      </c>
      <c r="B50" s="511">
        <v>0.84</v>
      </c>
      <c r="C50" s="511">
        <v>0.84</v>
      </c>
      <c r="D50" s="511">
        <v>0.81899999999999995</v>
      </c>
      <c r="E50" s="511">
        <v>0.77300000000000002</v>
      </c>
      <c r="F50" s="511">
        <v>0.68799999999999994</v>
      </c>
      <c r="G50" s="511">
        <v>0.56200000000000006</v>
      </c>
      <c r="H50" s="511">
        <v>0.39800000000000002</v>
      </c>
      <c r="I50" s="511">
        <v>0.20799999999999999</v>
      </c>
    </row>
    <row r="51" spans="1:9">
      <c r="A51" s="510">
        <v>26</v>
      </c>
      <c r="B51" s="511">
        <v>0.83599999999999997</v>
      </c>
      <c r="C51" s="511">
        <v>0.83599999999999997</v>
      </c>
      <c r="D51" s="511">
        <v>0.81499999999999995</v>
      </c>
      <c r="E51" s="511">
        <v>0.76900000000000002</v>
      </c>
      <c r="F51" s="511">
        <v>0.68500000000000005</v>
      </c>
      <c r="G51" s="511">
        <v>0.55900000000000005</v>
      </c>
      <c r="H51" s="511">
        <v>0.39600000000000002</v>
      </c>
      <c r="I51" s="511">
        <v>0.20699999999999999</v>
      </c>
    </row>
    <row r="52" spans="1:9">
      <c r="A52" s="510">
        <v>26.5</v>
      </c>
      <c r="B52" s="511">
        <v>0.83299999999999996</v>
      </c>
      <c r="C52" s="511">
        <v>0.83299999999999996</v>
      </c>
      <c r="D52" s="511">
        <v>0.81200000000000006</v>
      </c>
      <c r="E52" s="511">
        <v>0.76600000000000001</v>
      </c>
      <c r="F52" s="511">
        <v>0.68200000000000005</v>
      </c>
      <c r="G52" s="511">
        <v>0.55700000000000005</v>
      </c>
      <c r="H52" s="511">
        <v>0.39500000000000002</v>
      </c>
      <c r="I52" s="511">
        <v>0.20699999999999999</v>
      </c>
    </row>
    <row r="53" spans="1:9">
      <c r="A53" s="510">
        <v>27</v>
      </c>
      <c r="B53" s="511">
        <v>0.82899999999999996</v>
      </c>
      <c r="C53" s="511">
        <v>0.82899999999999996</v>
      </c>
      <c r="D53" s="511">
        <v>0.80800000000000005</v>
      </c>
      <c r="E53" s="511">
        <v>0.76200000000000001</v>
      </c>
      <c r="F53" s="511">
        <v>0.67900000000000005</v>
      </c>
      <c r="G53" s="511">
        <v>0.55400000000000005</v>
      </c>
      <c r="H53" s="511">
        <v>0.39300000000000002</v>
      </c>
      <c r="I53" s="511">
        <v>0.20599999999999999</v>
      </c>
    </row>
    <row r="54" spans="1:9">
      <c r="A54" s="510">
        <v>27.5</v>
      </c>
      <c r="B54" s="511">
        <v>0.82499999999999996</v>
      </c>
      <c r="C54" s="511">
        <v>0.82499999999999996</v>
      </c>
      <c r="D54" s="511">
        <v>0.80400000000000005</v>
      </c>
      <c r="E54" s="511">
        <v>0.75800000000000001</v>
      </c>
      <c r="F54" s="511">
        <v>0.67600000000000005</v>
      </c>
      <c r="G54" s="511">
        <v>0.55100000000000005</v>
      </c>
      <c r="H54" s="511">
        <v>0.39100000000000001</v>
      </c>
      <c r="I54" s="511">
        <v>0.20499999999999999</v>
      </c>
    </row>
    <row r="55" spans="1:9">
      <c r="A55" s="510">
        <v>28</v>
      </c>
      <c r="B55" s="511">
        <v>0.82099999999999995</v>
      </c>
      <c r="C55" s="511">
        <v>0.82099999999999995</v>
      </c>
      <c r="D55" s="511">
        <v>0.8</v>
      </c>
      <c r="E55" s="511">
        <v>0.754</v>
      </c>
      <c r="F55" s="511">
        <v>0.67200000000000004</v>
      </c>
      <c r="G55" s="511">
        <v>0.54800000000000004</v>
      </c>
      <c r="H55" s="511">
        <v>0.38900000000000001</v>
      </c>
      <c r="I55" s="511">
        <v>0.20399999999999999</v>
      </c>
    </row>
    <row r="56" spans="1:9">
      <c r="A56" s="510">
        <v>28.5</v>
      </c>
      <c r="B56" s="511">
        <v>0.81699999999999995</v>
      </c>
      <c r="C56" s="511">
        <v>0.81699999999999995</v>
      </c>
      <c r="D56" s="511">
        <v>0.79700000000000004</v>
      </c>
      <c r="E56" s="511">
        <v>0.751</v>
      </c>
      <c r="F56" s="511">
        <v>0.66900000000000004</v>
      </c>
      <c r="G56" s="511">
        <v>0.54600000000000004</v>
      </c>
      <c r="H56" s="511">
        <v>0.38800000000000001</v>
      </c>
      <c r="I56" s="511">
        <v>0.20300000000000001</v>
      </c>
    </row>
    <row r="57" spans="1:9">
      <c r="A57" s="510">
        <v>29</v>
      </c>
      <c r="B57" s="511">
        <v>0.81299999999999994</v>
      </c>
      <c r="C57" s="511">
        <v>0.81299999999999994</v>
      </c>
      <c r="D57" s="511">
        <v>0.79300000000000004</v>
      </c>
      <c r="E57" s="511">
        <v>0.747</v>
      </c>
      <c r="F57" s="511">
        <v>0.66600000000000004</v>
      </c>
      <c r="G57" s="511">
        <v>0.54300000000000004</v>
      </c>
      <c r="H57" s="511">
        <v>0.38600000000000001</v>
      </c>
      <c r="I57" s="511">
        <v>0.20200000000000001</v>
      </c>
    </row>
    <row r="58" spans="1:9">
      <c r="A58" s="510">
        <v>29.5</v>
      </c>
      <c r="B58" s="511">
        <v>0.80900000000000005</v>
      </c>
      <c r="C58" s="511">
        <v>0.80900000000000005</v>
      </c>
      <c r="D58" s="511">
        <v>0.78900000000000003</v>
      </c>
      <c r="E58" s="511">
        <v>0.74399999999999999</v>
      </c>
      <c r="F58" s="511">
        <v>0.66300000000000003</v>
      </c>
      <c r="G58" s="511">
        <v>0.54100000000000004</v>
      </c>
      <c r="H58" s="511">
        <v>0.38400000000000001</v>
      </c>
      <c r="I58" s="511">
        <v>0.20100000000000001</v>
      </c>
    </row>
    <row r="59" spans="1:9">
      <c r="A59" s="510">
        <v>30</v>
      </c>
      <c r="B59" s="511">
        <v>0.80500000000000005</v>
      </c>
      <c r="C59" s="511">
        <v>0.80500000000000005</v>
      </c>
      <c r="D59" s="511">
        <v>0.78500000000000003</v>
      </c>
      <c r="E59" s="511">
        <v>0.74</v>
      </c>
      <c r="F59" s="511">
        <v>0.65900000000000003</v>
      </c>
      <c r="G59" s="511">
        <v>0.53800000000000003</v>
      </c>
      <c r="H59" s="511">
        <v>0.38200000000000001</v>
      </c>
      <c r="I59" s="511">
        <v>0.2</v>
      </c>
    </row>
    <row r="60" spans="1:9">
      <c r="A60" s="510">
        <v>30.5</v>
      </c>
      <c r="B60" s="511">
        <v>0.80100000000000005</v>
      </c>
      <c r="C60" s="511">
        <v>0.80100000000000005</v>
      </c>
      <c r="D60" s="511">
        <v>0.78100000000000003</v>
      </c>
      <c r="E60" s="511">
        <v>0.73699999999999999</v>
      </c>
      <c r="F60" s="511">
        <v>0.65600000000000003</v>
      </c>
      <c r="G60" s="511">
        <v>0.53600000000000003</v>
      </c>
      <c r="H60" s="511">
        <v>0.38</v>
      </c>
      <c r="I60" s="511">
        <v>0.19900000000000001</v>
      </c>
    </row>
    <row r="61" spans="1:9">
      <c r="A61" s="510">
        <v>31</v>
      </c>
      <c r="B61" s="511">
        <v>0.79700000000000004</v>
      </c>
      <c r="C61" s="511">
        <v>0.79700000000000004</v>
      </c>
      <c r="D61" s="511">
        <v>0.77700000000000002</v>
      </c>
      <c r="E61" s="511">
        <v>0.73299999999999998</v>
      </c>
      <c r="F61" s="511">
        <v>0.65300000000000002</v>
      </c>
      <c r="G61" s="511">
        <v>0.53300000000000003</v>
      </c>
      <c r="H61" s="511">
        <v>0.378</v>
      </c>
      <c r="I61" s="511">
        <v>0.19800000000000001</v>
      </c>
    </row>
    <row r="62" spans="1:9">
      <c r="A62" s="510">
        <v>31.5</v>
      </c>
      <c r="B62" s="511">
        <v>0.79300000000000004</v>
      </c>
      <c r="C62" s="511">
        <v>0.79300000000000004</v>
      </c>
      <c r="D62" s="511">
        <v>0.77300000000000002</v>
      </c>
      <c r="E62" s="511">
        <v>0.72899999999999998</v>
      </c>
      <c r="F62" s="511">
        <v>0.65</v>
      </c>
      <c r="G62" s="511">
        <v>0.53</v>
      </c>
      <c r="H62" s="511">
        <v>0.376</v>
      </c>
      <c r="I62" s="511">
        <v>0.19700000000000001</v>
      </c>
    </row>
    <row r="63" spans="1:9">
      <c r="A63" s="510">
        <v>32</v>
      </c>
      <c r="B63" s="511">
        <v>0.78900000000000003</v>
      </c>
      <c r="C63" s="511">
        <v>0.78900000000000003</v>
      </c>
      <c r="D63" s="511">
        <v>0.76900000000000002</v>
      </c>
      <c r="E63" s="511">
        <v>0.72499999999999998</v>
      </c>
      <c r="F63" s="511">
        <v>0.64600000000000002</v>
      </c>
      <c r="G63" s="511">
        <v>0.52700000000000002</v>
      </c>
      <c r="H63" s="511">
        <v>0.374</v>
      </c>
      <c r="I63" s="511">
        <v>0.19600000000000001</v>
      </c>
    </row>
    <row r="64" spans="1:9">
      <c r="A64" s="510">
        <v>32.5</v>
      </c>
      <c r="B64" s="511">
        <v>0.78500000000000003</v>
      </c>
      <c r="C64" s="511">
        <v>0.78500000000000003</v>
      </c>
      <c r="D64" s="511">
        <v>0.76500000000000001</v>
      </c>
      <c r="E64" s="511">
        <v>0.72199999999999998</v>
      </c>
      <c r="F64" s="511">
        <v>0.64300000000000002</v>
      </c>
      <c r="G64" s="511">
        <v>0.52500000000000002</v>
      </c>
      <c r="H64" s="511">
        <v>0.372</v>
      </c>
      <c r="I64" s="511">
        <v>0.19500000000000001</v>
      </c>
    </row>
    <row r="65" spans="1:9">
      <c r="A65" s="510">
        <v>33</v>
      </c>
      <c r="B65" s="511">
        <v>0.78100000000000003</v>
      </c>
      <c r="C65" s="511">
        <v>0.78100000000000003</v>
      </c>
      <c r="D65" s="511">
        <v>0.76100000000000001</v>
      </c>
      <c r="E65" s="511">
        <v>0.71799999999999997</v>
      </c>
      <c r="F65" s="511">
        <v>0.63900000000000001</v>
      </c>
      <c r="G65" s="511">
        <v>0.52200000000000002</v>
      </c>
      <c r="H65" s="511">
        <v>0.37</v>
      </c>
      <c r="I65" s="511">
        <v>0.19400000000000001</v>
      </c>
    </row>
    <row r="66" spans="1:9">
      <c r="A66" s="510">
        <v>33.5</v>
      </c>
      <c r="B66" s="511">
        <v>0.77700000000000002</v>
      </c>
      <c r="C66" s="511">
        <v>0.77700000000000002</v>
      </c>
      <c r="D66" s="511">
        <v>0.75700000000000001</v>
      </c>
      <c r="E66" s="511">
        <v>0.71399999999999997</v>
      </c>
      <c r="F66" s="511">
        <v>0.63600000000000001</v>
      </c>
      <c r="G66" s="511">
        <v>0.51900000000000002</v>
      </c>
      <c r="H66" s="511">
        <v>0.36799999999999999</v>
      </c>
      <c r="I66" s="511">
        <v>0.193</v>
      </c>
    </row>
    <row r="67" spans="1:9">
      <c r="A67" s="510">
        <v>34</v>
      </c>
      <c r="B67" s="511">
        <v>0.77200000000000002</v>
      </c>
      <c r="C67" s="511">
        <v>0.77200000000000002</v>
      </c>
      <c r="D67" s="511">
        <v>0.753</v>
      </c>
      <c r="E67" s="511">
        <v>0.71</v>
      </c>
      <c r="F67" s="511">
        <v>0.63200000000000001</v>
      </c>
      <c r="G67" s="511">
        <v>0.51600000000000001</v>
      </c>
      <c r="H67" s="511">
        <v>0.36599999999999999</v>
      </c>
      <c r="I67" s="511">
        <v>0.192</v>
      </c>
    </row>
    <row r="68" spans="1:9">
      <c r="A68" s="510">
        <v>34.5</v>
      </c>
      <c r="B68" s="511">
        <v>0.76800000000000002</v>
      </c>
      <c r="C68" s="511">
        <v>0.76800000000000002</v>
      </c>
      <c r="D68" s="511">
        <v>0.749</v>
      </c>
      <c r="E68" s="511">
        <v>0.70599999999999996</v>
      </c>
      <c r="F68" s="511">
        <v>0.629</v>
      </c>
      <c r="G68" s="511">
        <v>0.51400000000000001</v>
      </c>
      <c r="H68" s="511">
        <v>0.36399999999999999</v>
      </c>
      <c r="I68" s="511">
        <v>0.191</v>
      </c>
    </row>
    <row r="69" spans="1:9">
      <c r="A69" s="510">
        <v>35</v>
      </c>
      <c r="B69" s="511">
        <v>0.76400000000000001</v>
      </c>
      <c r="C69" s="511">
        <v>0.76400000000000001</v>
      </c>
      <c r="D69" s="511">
        <v>0.745</v>
      </c>
      <c r="E69" s="511">
        <v>0.70199999999999996</v>
      </c>
      <c r="F69" s="511">
        <v>0.626</v>
      </c>
      <c r="G69" s="511">
        <v>0.51100000000000001</v>
      </c>
      <c r="H69" s="511">
        <v>0.36199999999999999</v>
      </c>
      <c r="I69" s="511">
        <v>0.19</v>
      </c>
    </row>
    <row r="70" spans="1:9">
      <c r="A70" s="510">
        <v>35.5</v>
      </c>
      <c r="B70" s="511">
        <v>0.76</v>
      </c>
      <c r="C70" s="511">
        <v>0.76</v>
      </c>
      <c r="D70" s="511">
        <v>0.74099999999999999</v>
      </c>
      <c r="E70" s="511">
        <v>0.69799999999999995</v>
      </c>
      <c r="F70" s="511">
        <v>0.623</v>
      </c>
      <c r="G70" s="511">
        <v>0.50800000000000001</v>
      </c>
      <c r="H70" s="511">
        <v>0.36</v>
      </c>
      <c r="I70" s="511">
        <v>0.189</v>
      </c>
    </row>
    <row r="71" spans="1:9">
      <c r="A71" s="510">
        <v>36</v>
      </c>
      <c r="B71" s="511">
        <v>0.755</v>
      </c>
      <c r="C71" s="511">
        <v>0.755</v>
      </c>
      <c r="D71" s="511">
        <v>0.73599999999999999</v>
      </c>
      <c r="E71" s="511">
        <v>0.69399999999999995</v>
      </c>
      <c r="F71" s="511">
        <v>0.61899999999999999</v>
      </c>
      <c r="G71" s="511">
        <v>0.505</v>
      </c>
      <c r="H71" s="511">
        <v>0.35799999999999998</v>
      </c>
      <c r="I71" s="511">
        <v>0.187</v>
      </c>
    </row>
    <row r="72" spans="1:9">
      <c r="A72" s="510">
        <v>36.5</v>
      </c>
      <c r="B72" s="511">
        <v>0.751</v>
      </c>
      <c r="C72" s="511">
        <v>0.751</v>
      </c>
      <c r="D72" s="511">
        <v>0.73199999999999998</v>
      </c>
      <c r="E72" s="511">
        <v>0.69</v>
      </c>
      <c r="F72" s="511">
        <v>0.61599999999999999</v>
      </c>
      <c r="G72" s="511">
        <v>0.502</v>
      </c>
      <c r="H72" s="511">
        <v>0.35599999999999998</v>
      </c>
      <c r="I72" s="511">
        <v>0.186</v>
      </c>
    </row>
    <row r="73" spans="1:9">
      <c r="A73" s="510">
        <v>37</v>
      </c>
      <c r="B73" s="511">
        <v>0.747</v>
      </c>
      <c r="C73" s="511">
        <v>0.747</v>
      </c>
      <c r="D73" s="511">
        <v>0.72799999999999998</v>
      </c>
      <c r="E73" s="511">
        <v>0.68600000000000005</v>
      </c>
      <c r="F73" s="511">
        <v>0.61199999999999999</v>
      </c>
      <c r="G73" s="511">
        <v>0.499</v>
      </c>
      <c r="H73" s="511">
        <v>0.35399999999999998</v>
      </c>
      <c r="I73" s="511">
        <v>0.185</v>
      </c>
    </row>
    <row r="74" spans="1:9">
      <c r="A74" s="510">
        <v>37.5</v>
      </c>
      <c r="B74" s="511">
        <v>0.74299999999999999</v>
      </c>
      <c r="C74" s="511">
        <v>0.74299999999999999</v>
      </c>
      <c r="D74" s="511">
        <v>0.72399999999999998</v>
      </c>
      <c r="E74" s="511">
        <v>0.68200000000000005</v>
      </c>
      <c r="F74" s="511">
        <v>0.60799999999999998</v>
      </c>
      <c r="G74" s="511">
        <v>0.496</v>
      </c>
      <c r="H74" s="511">
        <v>0.35199999999999998</v>
      </c>
      <c r="I74" s="511">
        <v>0.184</v>
      </c>
    </row>
    <row r="75" spans="1:9">
      <c r="A75" s="510">
        <v>38</v>
      </c>
      <c r="B75" s="511">
        <v>0.73799999999999999</v>
      </c>
      <c r="C75" s="511">
        <v>0.73799999999999999</v>
      </c>
      <c r="D75" s="511">
        <v>0.71899999999999997</v>
      </c>
      <c r="E75" s="511">
        <v>0.67800000000000005</v>
      </c>
      <c r="F75" s="511">
        <v>0.60399999999999998</v>
      </c>
      <c r="G75" s="511">
        <v>0.49299999999999999</v>
      </c>
      <c r="H75" s="511">
        <v>0.35</v>
      </c>
      <c r="I75" s="511">
        <v>0.183</v>
      </c>
    </row>
    <row r="76" spans="1:9">
      <c r="A76" s="510">
        <v>38.5</v>
      </c>
      <c r="B76" s="511">
        <v>0.73399999999999999</v>
      </c>
      <c r="C76" s="511">
        <v>0.73399999999999999</v>
      </c>
      <c r="D76" s="511">
        <v>0.71499999999999997</v>
      </c>
      <c r="E76" s="511">
        <v>0.67400000000000004</v>
      </c>
      <c r="F76" s="511">
        <v>0.60099999999999998</v>
      </c>
      <c r="G76" s="511">
        <v>0.49</v>
      </c>
      <c r="H76" s="511">
        <v>0.34799999999999998</v>
      </c>
      <c r="I76" s="511">
        <v>0.182</v>
      </c>
    </row>
    <row r="77" spans="1:9">
      <c r="A77" s="510">
        <v>39</v>
      </c>
      <c r="B77" s="511">
        <v>0.72899999999999998</v>
      </c>
      <c r="C77" s="511">
        <v>0.72899999999999998</v>
      </c>
      <c r="D77" s="511">
        <v>0.71</v>
      </c>
      <c r="E77" s="511">
        <v>0.67</v>
      </c>
      <c r="F77" s="511">
        <v>0.59699999999999998</v>
      </c>
      <c r="G77" s="511">
        <v>0.48699999999999999</v>
      </c>
      <c r="H77" s="511">
        <v>0.34599999999999997</v>
      </c>
      <c r="I77" s="511">
        <v>0.18099999999999999</v>
      </c>
    </row>
    <row r="78" spans="1:9">
      <c r="A78" s="510">
        <v>39.5</v>
      </c>
      <c r="B78" s="511">
        <v>0.72499999999999998</v>
      </c>
      <c r="C78" s="511">
        <v>0.72499999999999998</v>
      </c>
      <c r="D78" s="511">
        <v>0.70599999999999996</v>
      </c>
      <c r="E78" s="511">
        <v>0.66600000000000004</v>
      </c>
      <c r="F78" s="511">
        <v>0.59399999999999997</v>
      </c>
      <c r="G78" s="511">
        <v>0.48399999999999999</v>
      </c>
      <c r="H78" s="511">
        <v>0.34399999999999997</v>
      </c>
      <c r="I78" s="511">
        <v>0.18</v>
      </c>
    </row>
    <row r="79" spans="1:9">
      <c r="A79" s="510">
        <v>40</v>
      </c>
      <c r="B79" s="511">
        <v>0.72</v>
      </c>
      <c r="C79" s="511">
        <v>0.72</v>
      </c>
      <c r="D79" s="511">
        <v>0.70099999999999996</v>
      </c>
      <c r="E79" s="511">
        <v>0.66200000000000003</v>
      </c>
      <c r="F79" s="511">
        <v>0.59</v>
      </c>
      <c r="G79" s="511">
        <v>0.48099999999999998</v>
      </c>
      <c r="H79" s="511">
        <v>0.34100000000000003</v>
      </c>
      <c r="I79" s="511">
        <v>0.17899999999999999</v>
      </c>
    </row>
    <row r="80" spans="1:9">
      <c r="A80" s="510">
        <v>40.5</v>
      </c>
      <c r="B80" s="511">
        <v>0.71599999999999997</v>
      </c>
      <c r="C80" s="511">
        <v>0.71599999999999997</v>
      </c>
      <c r="D80" s="511">
        <v>0.69699999999999995</v>
      </c>
      <c r="E80" s="511">
        <v>0.65800000000000003</v>
      </c>
      <c r="F80" s="511">
        <v>0.58699999999999997</v>
      </c>
      <c r="G80" s="511">
        <v>0.47799999999999998</v>
      </c>
      <c r="H80" s="511">
        <v>0.33900000000000002</v>
      </c>
      <c r="I80" s="511">
        <v>0.17799999999999999</v>
      </c>
    </row>
    <row r="81" spans="1:9">
      <c r="A81" s="510">
        <v>41</v>
      </c>
      <c r="B81" s="511">
        <v>0.71099999999999997</v>
      </c>
      <c r="C81" s="511">
        <v>0.71099999999999997</v>
      </c>
      <c r="D81" s="511">
        <v>0.69299999999999995</v>
      </c>
      <c r="E81" s="511">
        <v>0.65400000000000003</v>
      </c>
      <c r="F81" s="511">
        <v>0.58299999999999996</v>
      </c>
      <c r="G81" s="511">
        <v>0.47499999999999998</v>
      </c>
      <c r="H81" s="511">
        <v>0.33700000000000002</v>
      </c>
      <c r="I81" s="511">
        <v>0.17699999999999999</v>
      </c>
    </row>
    <row r="82" spans="1:9">
      <c r="A82" s="510">
        <v>41.5</v>
      </c>
      <c r="B82" s="511">
        <v>0.70599999999999996</v>
      </c>
      <c r="C82" s="511">
        <v>0.70699999999999996</v>
      </c>
      <c r="D82" s="511">
        <v>0.68899999999999995</v>
      </c>
      <c r="E82" s="511">
        <v>0.65</v>
      </c>
      <c r="F82" s="511">
        <v>0.57899999999999996</v>
      </c>
      <c r="G82" s="511">
        <v>0.47199999999999998</v>
      </c>
      <c r="H82" s="511">
        <v>0.33500000000000002</v>
      </c>
      <c r="I82" s="511">
        <v>0.17599999999999999</v>
      </c>
    </row>
    <row r="83" spans="1:9">
      <c r="A83" s="510">
        <v>42</v>
      </c>
      <c r="B83" s="511">
        <v>0.70099999999999996</v>
      </c>
      <c r="C83" s="511">
        <v>0.70199999999999996</v>
      </c>
      <c r="D83" s="511">
        <v>0.68400000000000005</v>
      </c>
      <c r="E83" s="511">
        <v>0.64500000000000002</v>
      </c>
      <c r="F83" s="511">
        <v>0.57499999999999996</v>
      </c>
      <c r="G83" s="511">
        <v>0.46899999999999997</v>
      </c>
      <c r="H83" s="511">
        <v>0.33300000000000002</v>
      </c>
      <c r="I83" s="511">
        <v>0.17399999999999999</v>
      </c>
    </row>
    <row r="84" spans="1:9">
      <c r="A84" s="510">
        <v>42.5</v>
      </c>
      <c r="B84" s="511">
        <v>0.69699999999999995</v>
      </c>
      <c r="C84" s="511">
        <v>0.69799999999999995</v>
      </c>
      <c r="D84" s="511">
        <v>0.68</v>
      </c>
      <c r="E84" s="511">
        <v>0.64100000000000001</v>
      </c>
      <c r="F84" s="511">
        <v>0.57199999999999995</v>
      </c>
      <c r="G84" s="511">
        <v>0.46600000000000003</v>
      </c>
      <c r="H84" s="511">
        <v>0.33100000000000002</v>
      </c>
      <c r="I84" s="511">
        <v>0.17299999999999999</v>
      </c>
    </row>
    <row r="85" spans="1:9">
      <c r="A85" s="510">
        <v>43</v>
      </c>
      <c r="B85" s="511">
        <v>0.69199999999999995</v>
      </c>
      <c r="C85" s="511">
        <v>0.69299999999999995</v>
      </c>
      <c r="D85" s="511">
        <v>0.67500000000000004</v>
      </c>
      <c r="E85" s="511">
        <v>0.63700000000000001</v>
      </c>
      <c r="F85" s="511">
        <v>0.56799999999999995</v>
      </c>
      <c r="G85" s="511">
        <v>0.46300000000000002</v>
      </c>
      <c r="H85" s="511">
        <v>0.32900000000000001</v>
      </c>
      <c r="I85" s="511">
        <v>0.17199999999999999</v>
      </c>
    </row>
    <row r="86" spans="1:9">
      <c r="A86" s="510">
        <v>43.5</v>
      </c>
      <c r="B86" s="511">
        <v>0.68799999999999994</v>
      </c>
      <c r="C86" s="511">
        <v>0.68799999999999994</v>
      </c>
      <c r="D86" s="511">
        <v>0.67100000000000004</v>
      </c>
      <c r="E86" s="511">
        <v>0.63300000000000001</v>
      </c>
      <c r="F86" s="511">
        <v>0.56399999999999995</v>
      </c>
      <c r="G86" s="511">
        <v>0.46</v>
      </c>
      <c r="H86" s="511">
        <v>0.32700000000000001</v>
      </c>
      <c r="I86" s="511">
        <v>0.17100000000000001</v>
      </c>
    </row>
    <row r="87" spans="1:9">
      <c r="A87" s="510">
        <v>44</v>
      </c>
      <c r="B87" s="511">
        <v>0.68300000000000005</v>
      </c>
      <c r="C87" s="511">
        <v>0.68300000000000005</v>
      </c>
      <c r="D87" s="511">
        <v>0.66600000000000004</v>
      </c>
      <c r="E87" s="511">
        <v>0.628</v>
      </c>
      <c r="F87" s="511">
        <v>0.56000000000000005</v>
      </c>
      <c r="G87" s="511">
        <v>0.45600000000000002</v>
      </c>
      <c r="H87" s="511">
        <v>0.32400000000000001</v>
      </c>
      <c r="I87" s="511">
        <v>0.16900000000000001</v>
      </c>
    </row>
    <row r="88" spans="1:9">
      <c r="A88" s="510">
        <v>44.5</v>
      </c>
      <c r="B88" s="511">
        <v>0.67900000000000005</v>
      </c>
      <c r="C88" s="511">
        <v>0.67900000000000005</v>
      </c>
      <c r="D88" s="511">
        <v>0.66200000000000003</v>
      </c>
      <c r="E88" s="511">
        <v>0.624</v>
      </c>
      <c r="F88" s="511">
        <v>0.55600000000000005</v>
      </c>
      <c r="G88" s="511">
        <v>0.45300000000000001</v>
      </c>
      <c r="H88" s="511">
        <v>0.32200000000000001</v>
      </c>
      <c r="I88" s="511">
        <v>0.16800000000000001</v>
      </c>
    </row>
    <row r="89" spans="1:9">
      <c r="A89" s="510">
        <v>45</v>
      </c>
      <c r="B89" s="511">
        <v>0.67400000000000004</v>
      </c>
      <c r="C89" s="511">
        <v>0.67400000000000004</v>
      </c>
      <c r="D89" s="511">
        <v>0.65700000000000003</v>
      </c>
      <c r="E89" s="511">
        <v>0.62</v>
      </c>
      <c r="F89" s="511">
        <v>0.55200000000000005</v>
      </c>
      <c r="G89" s="511">
        <v>0.45</v>
      </c>
      <c r="H89" s="511">
        <v>0.32</v>
      </c>
      <c r="I89" s="511">
        <v>0.16700000000000001</v>
      </c>
    </row>
    <row r="90" spans="1:9">
      <c r="A90" s="510">
        <v>45.5</v>
      </c>
      <c r="B90" s="511">
        <v>0.66900000000000004</v>
      </c>
      <c r="C90" s="511">
        <v>0.66900000000000004</v>
      </c>
      <c r="D90" s="511">
        <v>0.65300000000000002</v>
      </c>
      <c r="E90" s="511">
        <v>0.61599999999999999</v>
      </c>
      <c r="F90" s="511">
        <v>0.54800000000000004</v>
      </c>
      <c r="G90" s="511">
        <v>0.44700000000000001</v>
      </c>
      <c r="H90" s="511">
        <v>0.318</v>
      </c>
      <c r="I90" s="511">
        <v>0.16600000000000001</v>
      </c>
    </row>
    <row r="91" spans="1:9">
      <c r="A91" s="510">
        <v>46</v>
      </c>
      <c r="B91" s="511">
        <v>0.66400000000000003</v>
      </c>
      <c r="C91" s="511">
        <v>0.66400000000000003</v>
      </c>
      <c r="D91" s="511">
        <v>0.64800000000000002</v>
      </c>
      <c r="E91" s="511">
        <v>0.61099999999999999</v>
      </c>
      <c r="F91" s="511">
        <v>0.54400000000000004</v>
      </c>
      <c r="G91" s="511">
        <v>0.44400000000000001</v>
      </c>
      <c r="H91" s="511">
        <v>0.315</v>
      </c>
      <c r="I91" s="511">
        <v>0.16500000000000001</v>
      </c>
    </row>
    <row r="92" spans="1:9">
      <c r="A92" s="510">
        <v>46.5</v>
      </c>
      <c r="B92" s="511">
        <v>0.66</v>
      </c>
      <c r="C92" s="511">
        <v>0.66</v>
      </c>
      <c r="D92" s="511">
        <v>0.64400000000000002</v>
      </c>
      <c r="E92" s="511">
        <v>0.60699999999999998</v>
      </c>
      <c r="F92" s="511">
        <v>0.54</v>
      </c>
      <c r="G92" s="511">
        <v>0.441</v>
      </c>
      <c r="H92" s="511">
        <v>0.313</v>
      </c>
      <c r="I92" s="511">
        <v>0.16400000000000001</v>
      </c>
    </row>
    <row r="93" spans="1:9">
      <c r="A93" s="510">
        <v>47</v>
      </c>
      <c r="B93" s="511">
        <v>0.65500000000000003</v>
      </c>
      <c r="C93" s="511">
        <v>0.65500000000000003</v>
      </c>
      <c r="D93" s="511">
        <v>0.63900000000000001</v>
      </c>
      <c r="E93" s="511">
        <v>0.60199999999999998</v>
      </c>
      <c r="F93" s="511">
        <v>0.53600000000000003</v>
      </c>
      <c r="G93" s="511">
        <v>0.438</v>
      </c>
      <c r="H93" s="511">
        <v>0.311</v>
      </c>
      <c r="I93" s="511">
        <v>0.16300000000000001</v>
      </c>
    </row>
    <row r="94" spans="1:9">
      <c r="A94" s="510">
        <v>47.5</v>
      </c>
      <c r="B94" s="511">
        <v>0.65</v>
      </c>
      <c r="C94" s="511">
        <v>0.65</v>
      </c>
      <c r="D94" s="511">
        <v>0.63400000000000001</v>
      </c>
      <c r="E94" s="511">
        <v>0.59799999999999998</v>
      </c>
      <c r="F94" s="511">
        <v>0.53200000000000003</v>
      </c>
      <c r="G94" s="511">
        <v>0.435</v>
      </c>
      <c r="H94" s="511">
        <v>0.309</v>
      </c>
      <c r="I94" s="511">
        <v>0.16200000000000001</v>
      </c>
    </row>
    <row r="95" spans="1:9">
      <c r="A95" s="510">
        <v>48</v>
      </c>
      <c r="B95" s="511">
        <v>0.64500000000000002</v>
      </c>
      <c r="C95" s="511">
        <v>0.64500000000000002</v>
      </c>
      <c r="D95" s="511">
        <v>0.629</v>
      </c>
      <c r="E95" s="511">
        <v>0.59299999999999997</v>
      </c>
      <c r="F95" s="511">
        <v>0.52800000000000002</v>
      </c>
      <c r="G95" s="511">
        <v>0.43099999999999999</v>
      </c>
      <c r="H95" s="511">
        <v>0.30599999999999999</v>
      </c>
      <c r="I95" s="511">
        <v>0.16</v>
      </c>
    </row>
    <row r="96" spans="1:9">
      <c r="A96" s="510">
        <v>48.5</v>
      </c>
      <c r="B96" s="511">
        <v>0.64</v>
      </c>
      <c r="C96" s="511">
        <v>0.64</v>
      </c>
      <c r="D96" s="511">
        <v>0.624</v>
      </c>
      <c r="E96" s="511">
        <v>0.58899999999999997</v>
      </c>
      <c r="F96" s="511">
        <v>0.52400000000000002</v>
      </c>
      <c r="G96" s="511">
        <v>0.42799999999999999</v>
      </c>
      <c r="H96" s="511">
        <v>0.30399999999999999</v>
      </c>
      <c r="I96" s="511">
        <v>0.159</v>
      </c>
    </row>
    <row r="97" spans="1:9">
      <c r="A97" s="510">
        <v>49</v>
      </c>
      <c r="B97" s="511">
        <v>0.63500000000000001</v>
      </c>
      <c r="C97" s="511">
        <v>0.63500000000000001</v>
      </c>
      <c r="D97" s="511">
        <v>0.61899999999999999</v>
      </c>
      <c r="E97" s="511">
        <v>0.58399999999999996</v>
      </c>
      <c r="F97" s="511">
        <v>0.52</v>
      </c>
      <c r="G97" s="511">
        <v>0.42499999999999999</v>
      </c>
      <c r="H97" s="511">
        <v>0.30099999999999999</v>
      </c>
      <c r="I97" s="511">
        <v>0.158</v>
      </c>
    </row>
    <row r="98" spans="1:9">
      <c r="A98" s="510">
        <v>49.5</v>
      </c>
      <c r="B98" s="511">
        <v>0.63</v>
      </c>
      <c r="C98" s="511">
        <v>0.63</v>
      </c>
      <c r="D98" s="511">
        <v>0.61399999999999999</v>
      </c>
      <c r="E98" s="511">
        <v>0.57899999999999996</v>
      </c>
      <c r="F98" s="511">
        <v>0.51600000000000001</v>
      </c>
      <c r="G98" s="511">
        <v>0.42199999999999999</v>
      </c>
      <c r="H98" s="511">
        <v>0.29899999999999999</v>
      </c>
      <c r="I98" s="511">
        <v>0.157</v>
      </c>
    </row>
    <row r="99" spans="1:9">
      <c r="A99" s="510">
        <v>50</v>
      </c>
      <c r="B99" s="511">
        <v>0.625</v>
      </c>
      <c r="C99" s="511">
        <v>0.625</v>
      </c>
      <c r="D99" s="511">
        <v>0.60899999999999999</v>
      </c>
      <c r="E99" s="511">
        <v>0.57399999999999995</v>
      </c>
      <c r="F99" s="511">
        <v>0.51200000000000001</v>
      </c>
      <c r="G99" s="511">
        <v>0.41799999999999998</v>
      </c>
      <c r="H99" s="511">
        <v>0.29599999999999999</v>
      </c>
      <c r="I99" s="511">
        <v>0.155</v>
      </c>
    </row>
    <row r="100" spans="1:9">
      <c r="A100" s="510">
        <v>50.5</v>
      </c>
      <c r="B100" s="511">
        <v>0.62</v>
      </c>
      <c r="C100" s="511">
        <v>0.62</v>
      </c>
      <c r="D100" s="511">
        <v>0.60499999999999998</v>
      </c>
      <c r="E100" s="511">
        <v>0.56999999999999995</v>
      </c>
      <c r="F100" s="511">
        <v>0.50800000000000001</v>
      </c>
      <c r="G100" s="511">
        <v>0.41499999999999998</v>
      </c>
      <c r="H100" s="511">
        <v>0.29399999999999998</v>
      </c>
      <c r="I100" s="511">
        <v>0.154</v>
      </c>
    </row>
    <row r="101" spans="1:9">
      <c r="A101" s="510">
        <v>51</v>
      </c>
      <c r="B101" s="511">
        <v>0.61499999999999999</v>
      </c>
      <c r="C101" s="511">
        <v>0.61499999999999999</v>
      </c>
      <c r="D101" s="511">
        <v>0.6</v>
      </c>
      <c r="E101" s="511">
        <v>0.56499999999999995</v>
      </c>
      <c r="F101" s="511">
        <v>0.504</v>
      </c>
      <c r="G101" s="511">
        <v>0.41099999999999998</v>
      </c>
      <c r="H101" s="511">
        <v>0.29199999999999998</v>
      </c>
      <c r="I101" s="511">
        <v>0.153</v>
      </c>
    </row>
    <row r="102" spans="1:9">
      <c r="A102" s="510">
        <v>51.5</v>
      </c>
      <c r="B102" s="511">
        <v>0.61</v>
      </c>
      <c r="C102" s="511">
        <v>0.61</v>
      </c>
      <c r="D102" s="511">
        <v>0.59499999999999997</v>
      </c>
      <c r="E102" s="511">
        <v>0.56100000000000005</v>
      </c>
      <c r="F102" s="511">
        <v>0.5</v>
      </c>
      <c r="G102" s="511">
        <v>0.40799999999999997</v>
      </c>
      <c r="H102" s="511">
        <v>0.28999999999999998</v>
      </c>
      <c r="I102" s="511">
        <v>0.152</v>
      </c>
    </row>
    <row r="103" spans="1:9">
      <c r="A103" s="510">
        <v>52</v>
      </c>
      <c r="B103" s="511">
        <v>0.60499999999999998</v>
      </c>
      <c r="C103" s="511">
        <v>0.60499999999999998</v>
      </c>
      <c r="D103" s="511">
        <v>0.59</v>
      </c>
      <c r="E103" s="511">
        <v>0.55600000000000005</v>
      </c>
      <c r="F103" s="511">
        <v>0.495</v>
      </c>
      <c r="G103" s="511">
        <v>0.40400000000000003</v>
      </c>
      <c r="H103" s="511">
        <v>0.28699999999999998</v>
      </c>
      <c r="I103" s="511">
        <v>0.15</v>
      </c>
    </row>
    <row r="104" spans="1:9">
      <c r="A104" s="510">
        <v>52.5</v>
      </c>
      <c r="B104" s="511">
        <v>0.6</v>
      </c>
      <c r="C104" s="511">
        <v>0.6</v>
      </c>
      <c r="D104" s="511">
        <v>0.58499999999999996</v>
      </c>
      <c r="E104" s="511">
        <v>0.55200000000000005</v>
      </c>
      <c r="F104" s="511">
        <v>0.49099999999999999</v>
      </c>
      <c r="G104" s="511">
        <v>0.40100000000000002</v>
      </c>
      <c r="H104" s="511">
        <v>0.28499999999999998</v>
      </c>
      <c r="I104" s="511">
        <v>0.14899999999999999</v>
      </c>
    </row>
    <row r="105" spans="1:9">
      <c r="A105" s="510">
        <v>53</v>
      </c>
      <c r="B105" s="511">
        <v>0.59499999999999997</v>
      </c>
      <c r="C105" s="511">
        <v>0.59499999999999997</v>
      </c>
      <c r="D105" s="511">
        <v>0.57999999999999996</v>
      </c>
      <c r="E105" s="511">
        <v>0.54700000000000004</v>
      </c>
      <c r="F105" s="511">
        <v>0.48699999999999999</v>
      </c>
      <c r="G105" s="511">
        <v>0.39700000000000002</v>
      </c>
      <c r="H105" s="511">
        <v>0.28199999999999997</v>
      </c>
      <c r="I105" s="511">
        <v>0.14799999999999999</v>
      </c>
    </row>
    <row r="106" spans="1:9">
      <c r="A106" s="510">
        <v>53.5</v>
      </c>
      <c r="B106" s="511">
        <v>0.59</v>
      </c>
      <c r="C106" s="511">
        <v>0.59</v>
      </c>
      <c r="D106" s="511">
        <v>0.57499999999999996</v>
      </c>
      <c r="E106" s="511">
        <v>0.54200000000000004</v>
      </c>
      <c r="F106" s="511">
        <v>0.48299999999999998</v>
      </c>
      <c r="G106" s="511">
        <v>0.39400000000000002</v>
      </c>
      <c r="H106" s="511">
        <v>0.28000000000000003</v>
      </c>
      <c r="I106" s="511">
        <v>0.14699999999999999</v>
      </c>
    </row>
    <row r="107" spans="1:9">
      <c r="A107" s="510">
        <v>54</v>
      </c>
      <c r="B107" s="511">
        <v>0.58399999999999996</v>
      </c>
      <c r="C107" s="511">
        <v>0.58399999999999996</v>
      </c>
      <c r="D107" s="511">
        <v>0.56999999999999995</v>
      </c>
      <c r="E107" s="511">
        <v>0.53700000000000003</v>
      </c>
      <c r="F107" s="511">
        <v>0.47899999999999998</v>
      </c>
      <c r="G107" s="511">
        <v>0.39</v>
      </c>
      <c r="H107" s="511">
        <v>0.27700000000000002</v>
      </c>
      <c r="I107" s="511">
        <v>0.14499999999999999</v>
      </c>
    </row>
    <row r="108" spans="1:9">
      <c r="A108" s="510">
        <v>54.5</v>
      </c>
      <c r="B108" s="511">
        <v>0.57899999999999996</v>
      </c>
      <c r="C108" s="511">
        <v>0.57899999999999996</v>
      </c>
      <c r="D108" s="511">
        <v>0.56499999999999995</v>
      </c>
      <c r="E108" s="511">
        <v>0.53300000000000003</v>
      </c>
      <c r="F108" s="511">
        <v>0.47499999999999998</v>
      </c>
      <c r="G108" s="511">
        <v>0.38700000000000001</v>
      </c>
      <c r="H108" s="511">
        <v>0.27500000000000002</v>
      </c>
      <c r="I108" s="511">
        <v>0.14399999999999999</v>
      </c>
    </row>
    <row r="109" spans="1:9">
      <c r="A109" s="510">
        <v>55</v>
      </c>
      <c r="B109" s="511">
        <v>0.57399999999999995</v>
      </c>
      <c r="C109" s="511">
        <v>0.57399999999999995</v>
      </c>
      <c r="D109" s="511">
        <v>0.56000000000000005</v>
      </c>
      <c r="E109" s="511">
        <v>0.52800000000000002</v>
      </c>
      <c r="F109" s="511">
        <v>0.47</v>
      </c>
      <c r="G109" s="511">
        <v>0.38300000000000001</v>
      </c>
      <c r="H109" s="511">
        <v>0.27200000000000002</v>
      </c>
      <c r="I109" s="511">
        <v>0.14299999999999999</v>
      </c>
    </row>
    <row r="110" spans="1:9">
      <c r="A110" s="510">
        <v>55.5</v>
      </c>
      <c r="B110" s="511">
        <v>0.56899999999999995</v>
      </c>
      <c r="C110" s="511">
        <v>0.56899999999999995</v>
      </c>
      <c r="D110" s="511">
        <v>0.55500000000000005</v>
      </c>
      <c r="E110" s="511">
        <v>0.52300000000000002</v>
      </c>
      <c r="F110" s="511">
        <v>0.46600000000000003</v>
      </c>
      <c r="G110" s="511">
        <v>0.38</v>
      </c>
      <c r="H110" s="511">
        <v>0.27</v>
      </c>
      <c r="I110" s="511">
        <v>0.14199999999999999</v>
      </c>
    </row>
    <row r="111" spans="1:9">
      <c r="A111" s="510">
        <v>56</v>
      </c>
      <c r="B111" s="511">
        <v>0.56299999999999994</v>
      </c>
      <c r="C111" s="511">
        <v>0.56299999999999994</v>
      </c>
      <c r="D111" s="511">
        <v>0.54900000000000004</v>
      </c>
      <c r="E111" s="511">
        <v>0.51800000000000002</v>
      </c>
      <c r="F111" s="511">
        <v>0.46100000000000002</v>
      </c>
      <c r="G111" s="511">
        <v>0.376</v>
      </c>
      <c r="H111" s="511">
        <v>0.26700000000000002</v>
      </c>
      <c r="I111" s="511">
        <v>0.14000000000000001</v>
      </c>
    </row>
    <row r="112" spans="1:9">
      <c r="A112" s="510">
        <v>56.5</v>
      </c>
      <c r="B112" s="511">
        <v>0.55800000000000005</v>
      </c>
      <c r="C112" s="511">
        <v>0.55800000000000005</v>
      </c>
      <c r="D112" s="511">
        <v>0.54400000000000004</v>
      </c>
      <c r="E112" s="511">
        <v>0.51300000000000001</v>
      </c>
      <c r="F112" s="511">
        <v>0.45700000000000002</v>
      </c>
      <c r="G112" s="511">
        <v>0.373</v>
      </c>
      <c r="H112" s="511">
        <v>0.26500000000000001</v>
      </c>
      <c r="I112" s="511">
        <v>0.13900000000000001</v>
      </c>
    </row>
    <row r="113" spans="1:9">
      <c r="A113" s="510">
        <v>57</v>
      </c>
      <c r="B113" s="511">
        <v>0.55300000000000005</v>
      </c>
      <c r="C113" s="511">
        <v>0.55300000000000005</v>
      </c>
      <c r="D113" s="511">
        <v>0.53900000000000003</v>
      </c>
      <c r="E113" s="511">
        <v>0.50800000000000001</v>
      </c>
      <c r="F113" s="511">
        <v>0.45300000000000001</v>
      </c>
      <c r="G113" s="511">
        <v>0.36899999999999999</v>
      </c>
      <c r="H113" s="511">
        <v>0.26200000000000001</v>
      </c>
      <c r="I113" s="511">
        <v>0.13700000000000001</v>
      </c>
    </row>
    <row r="114" spans="1:9">
      <c r="A114" s="510">
        <v>57.5</v>
      </c>
      <c r="B114" s="511">
        <v>0.54800000000000004</v>
      </c>
      <c r="C114" s="511">
        <v>0.54800000000000004</v>
      </c>
      <c r="D114" s="511">
        <v>0.53400000000000003</v>
      </c>
      <c r="E114" s="511">
        <v>0.503</v>
      </c>
      <c r="F114" s="511">
        <v>0.44900000000000001</v>
      </c>
      <c r="G114" s="511">
        <v>0.36599999999999999</v>
      </c>
      <c r="H114" s="511">
        <v>0.26</v>
      </c>
      <c r="I114" s="511">
        <v>0.13600000000000001</v>
      </c>
    </row>
    <row r="115" spans="1:9">
      <c r="A115" s="510">
        <v>58</v>
      </c>
      <c r="B115" s="511">
        <v>0.54200000000000004</v>
      </c>
      <c r="C115" s="511">
        <v>0.54200000000000004</v>
      </c>
      <c r="D115" s="511">
        <v>0.52800000000000002</v>
      </c>
      <c r="E115" s="511">
        <v>0.498</v>
      </c>
      <c r="F115" s="511">
        <v>0.44400000000000001</v>
      </c>
      <c r="G115" s="511">
        <v>0.36199999999999999</v>
      </c>
      <c r="H115" s="511">
        <v>0.25700000000000001</v>
      </c>
      <c r="I115" s="511">
        <v>0.13400000000000001</v>
      </c>
    </row>
    <row r="116" spans="1:9">
      <c r="A116" s="510">
        <v>58.5</v>
      </c>
      <c r="B116" s="511">
        <v>0.53700000000000003</v>
      </c>
      <c r="C116" s="511">
        <v>0.53700000000000003</v>
      </c>
      <c r="D116" s="511">
        <v>0.52300000000000002</v>
      </c>
      <c r="E116" s="511">
        <v>0.49299999999999999</v>
      </c>
      <c r="F116" s="511">
        <v>0.44</v>
      </c>
      <c r="G116" s="511">
        <v>0.35899999999999999</v>
      </c>
      <c r="H116" s="511">
        <v>0.255</v>
      </c>
      <c r="I116" s="511">
        <v>0.13300000000000001</v>
      </c>
    </row>
    <row r="117" spans="1:9">
      <c r="A117" s="510">
        <v>59</v>
      </c>
      <c r="B117" s="511">
        <v>0.53100000000000003</v>
      </c>
      <c r="C117" s="511">
        <v>0.53100000000000003</v>
      </c>
      <c r="D117" s="511">
        <v>0.51800000000000002</v>
      </c>
      <c r="E117" s="511">
        <v>0.48799999999999999</v>
      </c>
      <c r="F117" s="511">
        <v>0.435</v>
      </c>
      <c r="G117" s="511">
        <v>0.35499999999999998</v>
      </c>
      <c r="H117" s="511">
        <v>0.252</v>
      </c>
      <c r="I117" s="511">
        <v>0.13200000000000001</v>
      </c>
    </row>
    <row r="118" spans="1:9">
      <c r="A118" s="510">
        <v>59.5</v>
      </c>
      <c r="B118" s="511">
        <v>0.52600000000000002</v>
      </c>
      <c r="C118" s="511">
        <v>0.52600000000000002</v>
      </c>
      <c r="D118" s="511">
        <v>0.51300000000000001</v>
      </c>
      <c r="E118" s="511">
        <v>0.48299999999999998</v>
      </c>
      <c r="F118" s="511">
        <v>0.43099999999999999</v>
      </c>
      <c r="G118" s="511">
        <v>0.35099999999999998</v>
      </c>
      <c r="H118" s="511">
        <v>0.25</v>
      </c>
      <c r="I118" s="511">
        <v>0.13100000000000001</v>
      </c>
    </row>
    <row r="119" spans="1:9">
      <c r="A119" s="510">
        <v>60</v>
      </c>
      <c r="B119" s="511">
        <v>0.52</v>
      </c>
      <c r="C119" s="511">
        <v>0.52</v>
      </c>
      <c r="D119" s="511">
        <v>0.50700000000000001</v>
      </c>
      <c r="E119" s="511">
        <v>0.47799999999999998</v>
      </c>
      <c r="F119" s="511">
        <v>0.42599999999999999</v>
      </c>
      <c r="G119" s="511">
        <v>0.34699999999999998</v>
      </c>
      <c r="H119" s="511">
        <v>0.247</v>
      </c>
      <c r="I119" s="511">
        <v>0.129</v>
      </c>
    </row>
    <row r="120" spans="1:9">
      <c r="A120" s="510">
        <v>60.5</v>
      </c>
      <c r="B120" s="511">
        <v>0.51500000000000001</v>
      </c>
      <c r="C120" s="511">
        <v>0.51500000000000001</v>
      </c>
      <c r="D120" s="511">
        <v>0.505</v>
      </c>
      <c r="E120" s="511">
        <v>0.47299999999999998</v>
      </c>
      <c r="F120" s="511">
        <v>0.42199999999999999</v>
      </c>
      <c r="G120" s="511">
        <v>0.34399999999999997</v>
      </c>
      <c r="H120" s="511">
        <v>0.245</v>
      </c>
      <c r="I120" s="511">
        <v>0.128</v>
      </c>
    </row>
    <row r="121" spans="1:9">
      <c r="A121" s="510">
        <v>61</v>
      </c>
      <c r="B121" s="511">
        <v>0.50900000000000001</v>
      </c>
      <c r="C121" s="511">
        <v>0.50900000000000001</v>
      </c>
      <c r="D121" s="511">
        <v>0.503</v>
      </c>
      <c r="E121" s="511">
        <v>0.46800000000000003</v>
      </c>
      <c r="F121" s="511">
        <v>0.41699999999999998</v>
      </c>
      <c r="G121" s="511">
        <v>0.34</v>
      </c>
      <c r="H121" s="511">
        <v>0.24199999999999999</v>
      </c>
      <c r="I121" s="511">
        <v>0.126</v>
      </c>
    </row>
    <row r="122" spans="1:9">
      <c r="A122" s="510">
        <v>61.5</v>
      </c>
      <c r="B122" s="511">
        <v>0.504</v>
      </c>
      <c r="C122" s="511">
        <v>0.504</v>
      </c>
      <c r="D122" s="511">
        <v>0.501</v>
      </c>
      <c r="E122" s="511">
        <v>0.46300000000000002</v>
      </c>
      <c r="F122" s="511">
        <v>0.41299999999999998</v>
      </c>
      <c r="G122" s="511">
        <v>0.33700000000000002</v>
      </c>
      <c r="H122" s="511">
        <v>0.23899999999999999</v>
      </c>
      <c r="I122" s="511">
        <v>0.125</v>
      </c>
    </row>
    <row r="123" spans="1:9">
      <c r="A123" s="510">
        <v>62</v>
      </c>
      <c r="B123" s="511">
        <v>0.498</v>
      </c>
      <c r="C123" s="511">
        <v>0.498</v>
      </c>
      <c r="D123" s="511">
        <v>0.498</v>
      </c>
      <c r="E123" s="511">
        <v>0.45800000000000002</v>
      </c>
      <c r="F123" s="511">
        <v>0.40799999999999997</v>
      </c>
      <c r="G123" s="511">
        <v>0.33300000000000002</v>
      </c>
      <c r="H123" s="511">
        <v>0.23599999999999999</v>
      </c>
      <c r="I123" s="511">
        <v>0.123</v>
      </c>
    </row>
    <row r="124" spans="1:9">
      <c r="A124" s="510">
        <v>62.5</v>
      </c>
      <c r="B124" s="511">
        <v>0.49299999999999999</v>
      </c>
      <c r="C124" s="511">
        <v>0.49299999999999999</v>
      </c>
      <c r="D124" s="511">
        <v>0.49</v>
      </c>
      <c r="E124" s="511">
        <v>0.45300000000000001</v>
      </c>
      <c r="F124" s="511">
        <v>0.40400000000000003</v>
      </c>
      <c r="G124" s="511">
        <v>0.32900000000000001</v>
      </c>
      <c r="H124" s="511">
        <v>0.23400000000000001</v>
      </c>
      <c r="I124" s="511">
        <v>0.122</v>
      </c>
    </row>
    <row r="125" spans="1:9">
      <c r="A125" s="510">
        <v>63</v>
      </c>
      <c r="B125" s="511">
        <v>0.48699999999999999</v>
      </c>
      <c r="C125" s="511">
        <v>0.48699999999999999</v>
      </c>
      <c r="D125" s="511">
        <v>0.48099999999999998</v>
      </c>
      <c r="E125" s="511">
        <v>0.44800000000000001</v>
      </c>
      <c r="F125" s="511">
        <v>0.39900000000000002</v>
      </c>
      <c r="G125" s="511">
        <v>0.32500000000000001</v>
      </c>
      <c r="H125" s="511">
        <v>0.23100000000000001</v>
      </c>
      <c r="I125" s="511">
        <v>0.121</v>
      </c>
    </row>
    <row r="126" spans="1:9">
      <c r="A126" s="510">
        <v>63.5</v>
      </c>
      <c r="B126" s="511">
        <v>0.48099999999999998</v>
      </c>
      <c r="C126" s="511">
        <v>0.48099999999999998</v>
      </c>
      <c r="D126" s="511">
        <v>0.47199999999999998</v>
      </c>
      <c r="E126" s="511">
        <v>0.443</v>
      </c>
      <c r="F126" s="511">
        <v>0.39400000000000002</v>
      </c>
      <c r="G126" s="511">
        <v>0.32100000000000001</v>
      </c>
      <c r="H126" s="511">
        <v>0.22800000000000001</v>
      </c>
      <c r="I126" s="511">
        <v>0.12</v>
      </c>
    </row>
    <row r="127" spans="1:9">
      <c r="A127" s="510">
        <v>64</v>
      </c>
      <c r="B127" s="511">
        <v>0.47499999999999998</v>
      </c>
      <c r="C127" s="511">
        <v>0.47499999999999998</v>
      </c>
      <c r="D127" s="511">
        <v>0.46300000000000002</v>
      </c>
      <c r="E127" s="511">
        <v>0.437</v>
      </c>
      <c r="F127" s="511">
        <v>0.38900000000000001</v>
      </c>
      <c r="G127" s="511">
        <v>0.317</v>
      </c>
      <c r="H127" s="511">
        <v>0.22500000000000001</v>
      </c>
      <c r="I127" s="511">
        <v>0.11799999999999999</v>
      </c>
    </row>
    <row r="128" spans="1:9">
      <c r="A128" s="510">
        <v>64.5</v>
      </c>
      <c r="B128" s="511">
        <v>0.47</v>
      </c>
      <c r="C128" s="511">
        <v>0.47</v>
      </c>
      <c r="D128" s="511">
        <v>0.45800000000000002</v>
      </c>
      <c r="E128" s="511">
        <v>0.432</v>
      </c>
      <c r="F128" s="511">
        <v>0.38500000000000001</v>
      </c>
      <c r="G128" s="511">
        <v>0.314</v>
      </c>
      <c r="H128" s="511">
        <v>0.223</v>
      </c>
      <c r="I128" s="511">
        <v>0.11700000000000001</v>
      </c>
    </row>
    <row r="129" spans="1:9">
      <c r="A129" s="510">
        <v>65</v>
      </c>
      <c r="B129" s="511">
        <v>0.46400000000000002</v>
      </c>
      <c r="C129" s="511">
        <v>0.46400000000000002</v>
      </c>
      <c r="D129" s="511">
        <v>0.45200000000000001</v>
      </c>
      <c r="E129" s="511">
        <v>0.42699999999999999</v>
      </c>
      <c r="F129" s="511">
        <v>0.38</v>
      </c>
      <c r="G129" s="511">
        <v>0.31</v>
      </c>
      <c r="H129" s="511">
        <v>0.22</v>
      </c>
      <c r="I129" s="511">
        <v>0.115</v>
      </c>
    </row>
    <row r="130" spans="1:9">
      <c r="A130" s="510">
        <v>65.5</v>
      </c>
      <c r="B130" s="511">
        <v>0.45800000000000002</v>
      </c>
      <c r="C130" s="511">
        <v>0.45800000000000002</v>
      </c>
      <c r="D130" s="511">
        <v>0.44700000000000001</v>
      </c>
      <c r="E130" s="511">
        <v>0.42199999999999999</v>
      </c>
      <c r="F130" s="511">
        <v>0.375</v>
      </c>
      <c r="G130" s="511">
        <v>0.30599999999999999</v>
      </c>
      <c r="H130" s="511">
        <v>0.217</v>
      </c>
      <c r="I130" s="511">
        <v>0.114</v>
      </c>
    </row>
    <row r="131" spans="1:9">
      <c r="A131" s="510">
        <v>66</v>
      </c>
      <c r="B131" s="511">
        <v>0.45200000000000001</v>
      </c>
      <c r="C131" s="511">
        <v>0.45200000000000001</v>
      </c>
      <c r="D131" s="511">
        <v>0.441</v>
      </c>
      <c r="E131" s="511">
        <v>0.41599999999999998</v>
      </c>
      <c r="F131" s="511">
        <v>0.37</v>
      </c>
      <c r="G131" s="511">
        <v>0.30199999999999999</v>
      </c>
      <c r="H131" s="511">
        <v>0.214</v>
      </c>
      <c r="I131" s="511">
        <v>0.112</v>
      </c>
    </row>
    <row r="132" spans="1:9">
      <c r="A132" s="510">
        <v>66.5</v>
      </c>
      <c r="B132" s="511">
        <v>0.44700000000000001</v>
      </c>
      <c r="C132" s="511">
        <v>0.44700000000000001</v>
      </c>
      <c r="D132" s="511">
        <v>0.436</v>
      </c>
      <c r="E132" s="511">
        <v>0.41099999999999998</v>
      </c>
      <c r="F132" s="511">
        <v>0.36599999999999999</v>
      </c>
      <c r="G132" s="511">
        <v>0.29799999999999999</v>
      </c>
      <c r="H132" s="511">
        <v>0.21199999999999999</v>
      </c>
      <c r="I132" s="511">
        <v>0.111</v>
      </c>
    </row>
    <row r="133" spans="1:9">
      <c r="A133" s="510">
        <v>67</v>
      </c>
      <c r="B133" s="511">
        <v>0.441</v>
      </c>
      <c r="C133" s="511">
        <v>0.441</v>
      </c>
      <c r="D133" s="511">
        <v>0.43</v>
      </c>
      <c r="E133" s="511">
        <v>0.40500000000000003</v>
      </c>
      <c r="F133" s="511">
        <v>0.36099999999999999</v>
      </c>
      <c r="G133" s="511">
        <v>0.29399999999999998</v>
      </c>
      <c r="H133" s="511">
        <v>0.20899999999999999</v>
      </c>
      <c r="I133" s="511">
        <v>0.109</v>
      </c>
    </row>
    <row r="134" spans="1:9">
      <c r="A134" s="510">
        <v>67.5</v>
      </c>
      <c r="B134" s="511">
        <v>0.435</v>
      </c>
      <c r="C134" s="511">
        <v>0.435</v>
      </c>
      <c r="D134" s="511">
        <v>0.42399999999999999</v>
      </c>
      <c r="E134" s="511">
        <v>0.4</v>
      </c>
      <c r="F134" s="511">
        <v>0.35599999999999998</v>
      </c>
      <c r="G134" s="511">
        <v>0.28999999999999998</v>
      </c>
      <c r="H134" s="511">
        <v>0.20599999999999999</v>
      </c>
      <c r="I134" s="511">
        <v>0.108</v>
      </c>
    </row>
    <row r="135" spans="1:9">
      <c r="A135" s="510">
        <v>68</v>
      </c>
      <c r="B135" s="511">
        <v>0.42899999999999999</v>
      </c>
      <c r="C135" s="511">
        <v>0.42899999999999999</v>
      </c>
      <c r="D135" s="511">
        <v>0.41799999999999998</v>
      </c>
      <c r="E135" s="511">
        <v>0.39400000000000002</v>
      </c>
      <c r="F135" s="511">
        <v>0.35099999999999998</v>
      </c>
      <c r="G135" s="511">
        <v>0.28599999999999998</v>
      </c>
      <c r="H135" s="511">
        <v>0.20300000000000001</v>
      </c>
      <c r="I135" s="511">
        <v>0.106</v>
      </c>
    </row>
    <row r="136" spans="1:9">
      <c r="A136" s="510">
        <v>68.5</v>
      </c>
      <c r="B136" s="511">
        <v>0.42299999999999999</v>
      </c>
      <c r="C136" s="511">
        <v>0.42299999999999999</v>
      </c>
      <c r="D136" s="511">
        <v>0.41299999999999998</v>
      </c>
      <c r="E136" s="511">
        <v>0.38900000000000001</v>
      </c>
      <c r="F136" s="511">
        <v>0.34699999999999998</v>
      </c>
      <c r="G136" s="511">
        <v>0.28299999999999997</v>
      </c>
      <c r="H136" s="511">
        <v>0.20100000000000001</v>
      </c>
      <c r="I136" s="511">
        <v>0.105</v>
      </c>
    </row>
    <row r="137" spans="1:9">
      <c r="A137" s="510">
        <v>69</v>
      </c>
      <c r="B137" s="511">
        <v>0.41699999999999998</v>
      </c>
      <c r="C137" s="511">
        <v>0.41699999999999998</v>
      </c>
      <c r="D137" s="511">
        <v>0.40699999999999997</v>
      </c>
      <c r="E137" s="511">
        <v>0.38300000000000001</v>
      </c>
      <c r="F137" s="511">
        <v>0.34200000000000003</v>
      </c>
      <c r="G137" s="511">
        <v>0.27900000000000003</v>
      </c>
      <c r="H137" s="511">
        <v>0.19800000000000001</v>
      </c>
      <c r="I137" s="511">
        <v>0.10299999999999999</v>
      </c>
    </row>
    <row r="138" spans="1:9">
      <c r="A138" s="510">
        <v>69.5</v>
      </c>
      <c r="B138" s="511">
        <v>0.41099999999999998</v>
      </c>
      <c r="C138" s="511">
        <v>0.41099999999999998</v>
      </c>
      <c r="D138" s="511">
        <v>0.40100000000000002</v>
      </c>
      <c r="E138" s="511">
        <v>0.378</v>
      </c>
      <c r="F138" s="511">
        <v>0.33700000000000002</v>
      </c>
      <c r="G138" s="511">
        <v>0.27500000000000002</v>
      </c>
      <c r="H138" s="511">
        <v>0.19500000000000001</v>
      </c>
      <c r="I138" s="511">
        <v>0.10199999999999999</v>
      </c>
    </row>
    <row r="139" spans="1:9">
      <c r="A139" s="510">
        <v>70</v>
      </c>
      <c r="B139" s="511">
        <v>0.40500000000000003</v>
      </c>
      <c r="C139" s="511">
        <v>0.40500000000000003</v>
      </c>
      <c r="D139" s="511">
        <v>0.39500000000000002</v>
      </c>
      <c r="E139" s="511">
        <v>0.372</v>
      </c>
      <c r="F139" s="511">
        <v>0.33200000000000002</v>
      </c>
      <c r="G139" s="511">
        <v>0.27100000000000002</v>
      </c>
      <c r="H139" s="511">
        <v>0.192</v>
      </c>
      <c r="I139" s="511">
        <v>0.1</v>
      </c>
    </row>
    <row r="140" spans="1:9">
      <c r="A140" s="510">
        <v>70.5</v>
      </c>
      <c r="B140" s="511">
        <v>0.40100000000000002</v>
      </c>
      <c r="C140" s="511">
        <v>0.39900000000000002</v>
      </c>
      <c r="D140" s="511">
        <v>0.38900000000000001</v>
      </c>
      <c r="E140" s="511">
        <v>0.36699999999999999</v>
      </c>
      <c r="F140" s="511">
        <v>0.32700000000000001</v>
      </c>
      <c r="G140" s="511">
        <v>0.26700000000000002</v>
      </c>
      <c r="H140" s="511">
        <v>0.19</v>
      </c>
      <c r="I140" s="511">
        <v>9.9000000000000005E-2</v>
      </c>
    </row>
    <row r="141" spans="1:9">
      <c r="A141" s="510">
        <v>71</v>
      </c>
      <c r="B141" s="511">
        <v>0.39700000000000002</v>
      </c>
      <c r="C141" s="511">
        <v>0.39300000000000002</v>
      </c>
      <c r="D141" s="511">
        <v>0.38300000000000001</v>
      </c>
      <c r="E141" s="511">
        <v>0.36099999999999999</v>
      </c>
      <c r="F141" s="511">
        <v>0.32200000000000001</v>
      </c>
      <c r="G141" s="511">
        <v>0.26300000000000001</v>
      </c>
      <c r="H141" s="511">
        <v>0.187</v>
      </c>
      <c r="I141" s="511">
        <v>9.7000000000000003E-2</v>
      </c>
    </row>
    <row r="142" spans="1:9">
      <c r="A142" s="510">
        <v>71.5</v>
      </c>
      <c r="B142" s="511">
        <v>0.39300000000000002</v>
      </c>
      <c r="C142" s="511">
        <v>0.38700000000000001</v>
      </c>
      <c r="D142" s="511">
        <v>0.377</v>
      </c>
      <c r="E142" s="511">
        <v>0.35599999999999998</v>
      </c>
      <c r="F142" s="511">
        <v>0.317</v>
      </c>
      <c r="G142" s="511">
        <v>0.25900000000000001</v>
      </c>
      <c r="H142" s="511">
        <v>0.184</v>
      </c>
      <c r="I142" s="511">
        <v>9.6000000000000002E-2</v>
      </c>
    </row>
    <row r="143" spans="1:9">
      <c r="A143" s="510">
        <v>72</v>
      </c>
      <c r="B143" s="511">
        <v>0.38800000000000001</v>
      </c>
      <c r="C143" s="511">
        <v>0.38100000000000001</v>
      </c>
      <c r="D143" s="511">
        <v>0.371</v>
      </c>
      <c r="E143" s="511">
        <v>0.35</v>
      </c>
      <c r="F143" s="511">
        <v>0.312</v>
      </c>
      <c r="G143" s="511">
        <v>0.254</v>
      </c>
      <c r="H143" s="511">
        <v>0.18099999999999999</v>
      </c>
      <c r="I143" s="511">
        <v>9.4E-2</v>
      </c>
    </row>
    <row r="144" spans="1:9">
      <c r="A144" s="510">
        <v>72.5</v>
      </c>
      <c r="B144" s="511">
        <v>0.38</v>
      </c>
      <c r="C144" s="511">
        <v>0.375</v>
      </c>
      <c r="D144" s="511">
        <v>0.36499999999999999</v>
      </c>
      <c r="E144" s="511">
        <v>0.34499999999999997</v>
      </c>
      <c r="F144" s="511">
        <v>0.307</v>
      </c>
      <c r="G144" s="511">
        <v>0.25</v>
      </c>
      <c r="H144" s="511">
        <v>0.17799999999999999</v>
      </c>
      <c r="I144" s="511">
        <v>9.2999999999999999E-2</v>
      </c>
    </row>
    <row r="145" spans="1:9">
      <c r="A145" s="510">
        <v>73</v>
      </c>
      <c r="B145" s="511">
        <v>0.372</v>
      </c>
      <c r="C145" s="511">
        <v>0.36899999999999999</v>
      </c>
      <c r="D145" s="511">
        <v>0.35899999999999999</v>
      </c>
      <c r="E145" s="511">
        <v>0.33900000000000002</v>
      </c>
      <c r="F145" s="511">
        <v>0.30199999999999999</v>
      </c>
      <c r="G145" s="511">
        <v>0.246</v>
      </c>
      <c r="H145" s="511">
        <v>0.17499999999999999</v>
      </c>
      <c r="I145" s="511">
        <v>9.0999999999999998E-2</v>
      </c>
    </row>
    <row r="146" spans="1:9">
      <c r="A146" s="510">
        <v>73.5</v>
      </c>
      <c r="B146" s="511">
        <v>0.36399999999999999</v>
      </c>
      <c r="C146" s="511">
        <v>0.36299999999999999</v>
      </c>
      <c r="D146" s="511">
        <v>0.35299999999999998</v>
      </c>
      <c r="E146" s="511">
        <v>0.33300000000000002</v>
      </c>
      <c r="F146" s="511">
        <v>0.29699999999999999</v>
      </c>
      <c r="G146" s="511">
        <v>0.24199999999999999</v>
      </c>
      <c r="H146" s="511">
        <v>0.17199999999999999</v>
      </c>
      <c r="I146" s="511">
        <v>0.09</v>
      </c>
    </row>
    <row r="147" spans="1:9">
      <c r="A147" s="510">
        <v>74</v>
      </c>
      <c r="B147" s="511">
        <v>0.35599999999999998</v>
      </c>
      <c r="C147" s="511">
        <v>0.35599999999999998</v>
      </c>
      <c r="D147" s="511">
        <v>0.34699999999999998</v>
      </c>
      <c r="E147" s="511">
        <v>0.32700000000000001</v>
      </c>
      <c r="F147" s="511">
        <v>0.29199999999999998</v>
      </c>
      <c r="G147" s="511">
        <v>0.23799999999999999</v>
      </c>
      <c r="H147" s="511">
        <v>0.16900000000000001</v>
      </c>
      <c r="I147" s="511">
        <v>8.7999999999999995E-2</v>
      </c>
    </row>
    <row r="148" spans="1:9">
      <c r="A148" s="510">
        <v>74.5</v>
      </c>
      <c r="B148" s="511">
        <v>0.35</v>
      </c>
      <c r="C148" s="511">
        <v>0.35</v>
      </c>
      <c r="D148" s="511">
        <v>0.34100000000000003</v>
      </c>
      <c r="E148" s="511">
        <v>0.32200000000000001</v>
      </c>
      <c r="F148" s="511">
        <v>0.28699999999999998</v>
      </c>
      <c r="G148" s="511">
        <v>0.23400000000000001</v>
      </c>
      <c r="H148" s="511">
        <v>0.16600000000000001</v>
      </c>
      <c r="I148" s="511">
        <v>8.6999999999999994E-2</v>
      </c>
    </row>
    <row r="149" spans="1:9">
      <c r="A149" s="510">
        <v>75</v>
      </c>
      <c r="B149" s="511">
        <v>0.34399999999999997</v>
      </c>
      <c r="C149" s="511">
        <v>0.34399999999999997</v>
      </c>
      <c r="D149" s="511">
        <v>0.33500000000000002</v>
      </c>
      <c r="E149" s="511">
        <v>0.316</v>
      </c>
      <c r="F149" s="511">
        <v>0.28199999999999997</v>
      </c>
      <c r="G149" s="511">
        <v>0.23</v>
      </c>
      <c r="H149" s="511">
        <v>0.16300000000000001</v>
      </c>
      <c r="I149" s="511">
        <v>8.5000000000000006E-2</v>
      </c>
    </row>
    <row r="150" spans="1:9">
      <c r="A150" s="510">
        <v>75.5</v>
      </c>
      <c r="B150" s="511">
        <v>0.33800000000000002</v>
      </c>
      <c r="C150" s="511">
        <v>0.33800000000000002</v>
      </c>
      <c r="D150" s="511">
        <v>0.32900000000000001</v>
      </c>
      <c r="E150" s="511">
        <v>0.31</v>
      </c>
      <c r="F150" s="511">
        <v>0.27700000000000002</v>
      </c>
      <c r="G150" s="511">
        <v>0.22600000000000001</v>
      </c>
      <c r="H150" s="511">
        <v>0.16</v>
      </c>
      <c r="I150" s="511">
        <v>8.4000000000000005E-2</v>
      </c>
    </row>
    <row r="151" spans="1:9">
      <c r="A151" s="510">
        <v>76</v>
      </c>
      <c r="B151" s="511">
        <v>0.33100000000000002</v>
      </c>
      <c r="C151" s="511">
        <v>0.33100000000000002</v>
      </c>
      <c r="D151" s="511">
        <v>0.32300000000000001</v>
      </c>
      <c r="E151" s="511">
        <v>0.30399999999999999</v>
      </c>
      <c r="F151" s="511">
        <v>0.27100000000000002</v>
      </c>
      <c r="G151" s="511">
        <v>0.221</v>
      </c>
      <c r="H151" s="511">
        <v>0.157</v>
      </c>
      <c r="I151" s="511">
        <v>8.2000000000000003E-2</v>
      </c>
    </row>
    <row r="152" spans="1:9">
      <c r="A152" s="510">
        <v>76.5</v>
      </c>
      <c r="B152" s="511">
        <v>0.32500000000000001</v>
      </c>
      <c r="C152" s="511">
        <v>0.32500000000000001</v>
      </c>
      <c r="D152" s="511">
        <v>0.317</v>
      </c>
      <c r="E152" s="511">
        <v>0.29899999999999999</v>
      </c>
      <c r="F152" s="511">
        <v>0.26600000000000001</v>
      </c>
      <c r="G152" s="511">
        <v>0.217</v>
      </c>
      <c r="H152" s="511">
        <v>0.154</v>
      </c>
      <c r="I152" s="511">
        <v>8.1000000000000003E-2</v>
      </c>
    </row>
    <row r="153" spans="1:9">
      <c r="A153" s="510">
        <v>77</v>
      </c>
      <c r="B153" s="511">
        <v>0.31900000000000001</v>
      </c>
      <c r="C153" s="511">
        <v>0.31900000000000001</v>
      </c>
      <c r="D153" s="511">
        <v>0.311</v>
      </c>
      <c r="E153" s="511">
        <v>0.29299999999999998</v>
      </c>
      <c r="F153" s="511">
        <v>0.26100000000000001</v>
      </c>
      <c r="G153" s="511">
        <v>0.21299999999999999</v>
      </c>
      <c r="H153" s="511">
        <v>0.151</v>
      </c>
      <c r="I153" s="511">
        <v>7.9000000000000001E-2</v>
      </c>
    </row>
    <row r="154" spans="1:9">
      <c r="A154" s="510">
        <v>77.5</v>
      </c>
      <c r="B154" s="511">
        <v>0.313</v>
      </c>
      <c r="C154" s="511">
        <v>0.313</v>
      </c>
      <c r="D154" s="511">
        <v>0.30499999999999999</v>
      </c>
      <c r="E154" s="511">
        <v>0.28699999999999998</v>
      </c>
      <c r="F154" s="511">
        <v>0.25600000000000001</v>
      </c>
      <c r="G154" s="511">
        <v>0.20899999999999999</v>
      </c>
      <c r="H154" s="511">
        <v>0.14799999999999999</v>
      </c>
      <c r="I154" s="511">
        <v>7.8E-2</v>
      </c>
    </row>
    <row r="155" spans="1:9">
      <c r="A155" s="510">
        <v>78</v>
      </c>
      <c r="B155" s="511">
        <v>0.30599999999999999</v>
      </c>
      <c r="C155" s="511">
        <v>0.30599999999999999</v>
      </c>
      <c r="D155" s="511">
        <v>0.29799999999999999</v>
      </c>
      <c r="E155" s="511">
        <v>0.28100000000000003</v>
      </c>
      <c r="F155" s="511">
        <v>0.251</v>
      </c>
      <c r="G155" s="511">
        <v>0.20399999999999999</v>
      </c>
      <c r="H155" s="511">
        <v>0.14499999999999999</v>
      </c>
      <c r="I155" s="511">
        <v>7.5999999999999998E-2</v>
      </c>
    </row>
    <row r="156" spans="1:9">
      <c r="A156" s="510">
        <v>78.5</v>
      </c>
      <c r="B156" s="511">
        <v>0.3</v>
      </c>
      <c r="C156" s="511">
        <v>0.3</v>
      </c>
      <c r="D156" s="511">
        <v>0.29199999999999998</v>
      </c>
      <c r="E156" s="511">
        <v>0.27500000000000002</v>
      </c>
      <c r="F156" s="511">
        <v>0.246</v>
      </c>
      <c r="G156" s="511">
        <v>0.2</v>
      </c>
      <c r="H156" s="511">
        <v>0.14199999999999999</v>
      </c>
      <c r="I156" s="511">
        <v>7.4999999999999997E-2</v>
      </c>
    </row>
    <row r="157" spans="1:9">
      <c r="A157" s="510">
        <v>79</v>
      </c>
      <c r="B157" s="511">
        <v>0.29299999999999998</v>
      </c>
      <c r="C157" s="511">
        <v>0.29299999999999998</v>
      </c>
      <c r="D157" s="511">
        <v>0.28599999999999998</v>
      </c>
      <c r="E157" s="511">
        <v>0.26900000000000002</v>
      </c>
      <c r="F157" s="511">
        <v>0.24</v>
      </c>
      <c r="G157" s="511">
        <v>0.19600000000000001</v>
      </c>
      <c r="H157" s="511">
        <v>0.13900000000000001</v>
      </c>
      <c r="I157" s="511">
        <v>7.2999999999999995E-2</v>
      </c>
    </row>
    <row r="158" spans="1:9">
      <c r="A158" s="510">
        <v>79.5</v>
      </c>
      <c r="B158" s="511">
        <v>0.28699999999999998</v>
      </c>
      <c r="C158" s="511">
        <v>0.28699999999999998</v>
      </c>
      <c r="D158" s="511">
        <v>0.28000000000000003</v>
      </c>
      <c r="E158" s="511">
        <v>0.26300000000000001</v>
      </c>
      <c r="F158" s="511">
        <v>0.23499999999999999</v>
      </c>
      <c r="G158" s="511">
        <v>0.192</v>
      </c>
      <c r="H158" s="511">
        <v>0.13600000000000001</v>
      </c>
      <c r="I158" s="511">
        <v>7.0999999999999994E-2</v>
      </c>
    </row>
    <row r="159" spans="1:9">
      <c r="A159" s="510">
        <v>80</v>
      </c>
      <c r="B159" s="511">
        <v>0.28000000000000003</v>
      </c>
      <c r="C159" s="511">
        <v>0.28000000000000003</v>
      </c>
      <c r="D159" s="511">
        <v>0.27300000000000002</v>
      </c>
      <c r="E159" s="511">
        <v>0.25700000000000001</v>
      </c>
      <c r="F159" s="511">
        <v>0.22900000000000001</v>
      </c>
      <c r="G159" s="511">
        <v>0.187</v>
      </c>
      <c r="H159" s="511">
        <v>0.13300000000000001</v>
      </c>
      <c r="I159" s="511">
        <v>6.9000000000000006E-2</v>
      </c>
    </row>
    <row r="160" spans="1:9">
      <c r="A160" s="510">
        <v>80.5</v>
      </c>
      <c r="B160" s="511">
        <v>0.27400000000000002</v>
      </c>
      <c r="C160" s="511">
        <v>0.27400000000000002</v>
      </c>
      <c r="D160" s="511">
        <v>0.26700000000000002</v>
      </c>
      <c r="E160" s="511">
        <v>0.251</v>
      </c>
      <c r="F160" s="511">
        <v>0.224</v>
      </c>
      <c r="G160" s="511">
        <v>0.183</v>
      </c>
      <c r="H160" s="511">
        <v>0.13</v>
      </c>
      <c r="I160" s="511">
        <v>6.8000000000000005E-2</v>
      </c>
    </row>
    <row r="161" spans="1:9">
      <c r="A161" s="510">
        <v>81</v>
      </c>
      <c r="B161" s="511">
        <v>0.26700000000000002</v>
      </c>
      <c r="C161" s="511">
        <v>0.26700000000000002</v>
      </c>
      <c r="D161" s="511">
        <v>0.26</v>
      </c>
      <c r="E161" s="511">
        <v>0.245</v>
      </c>
      <c r="F161" s="511">
        <v>0.219</v>
      </c>
      <c r="G161" s="511">
        <v>0.17899999999999999</v>
      </c>
      <c r="H161" s="511">
        <v>0.127</v>
      </c>
      <c r="I161" s="511">
        <v>6.6000000000000003E-2</v>
      </c>
    </row>
    <row r="162" spans="1:9">
      <c r="A162" s="510">
        <v>81.5</v>
      </c>
      <c r="B162" s="511">
        <v>0.26100000000000001</v>
      </c>
      <c r="C162" s="511">
        <v>0.26100000000000001</v>
      </c>
      <c r="D162" s="511">
        <v>0.254</v>
      </c>
      <c r="E162" s="511">
        <v>0.23899999999999999</v>
      </c>
      <c r="F162" s="511">
        <v>0.214</v>
      </c>
      <c r="G162" s="511">
        <v>0.17499999999999999</v>
      </c>
      <c r="H162" s="511">
        <v>0.124</v>
      </c>
      <c r="I162" s="511">
        <v>6.5000000000000002E-2</v>
      </c>
    </row>
    <row r="163" spans="1:9">
      <c r="A163" s="510">
        <v>82</v>
      </c>
      <c r="B163" s="511">
        <v>0.254</v>
      </c>
      <c r="C163" s="511">
        <v>0.254</v>
      </c>
      <c r="D163" s="511">
        <v>0.247</v>
      </c>
      <c r="E163" s="511">
        <v>0.23300000000000001</v>
      </c>
      <c r="F163" s="511">
        <v>0.20799999999999999</v>
      </c>
      <c r="G163" s="511">
        <v>0.17</v>
      </c>
      <c r="H163" s="511">
        <v>0.12</v>
      </c>
      <c r="I163" s="511">
        <v>6.3E-2</v>
      </c>
    </row>
    <row r="164" spans="1:9">
      <c r="A164" s="510">
        <v>82.5</v>
      </c>
      <c r="B164" s="511">
        <v>0.248</v>
      </c>
      <c r="C164" s="511">
        <v>0.248</v>
      </c>
      <c r="D164" s="511">
        <v>0.24099999999999999</v>
      </c>
      <c r="E164" s="511">
        <v>0.22700000000000001</v>
      </c>
      <c r="F164" s="511">
        <v>0.20300000000000001</v>
      </c>
      <c r="G164" s="511">
        <v>0.16600000000000001</v>
      </c>
      <c r="H164" s="511">
        <v>0.11700000000000001</v>
      </c>
      <c r="I164" s="511">
        <v>6.2E-2</v>
      </c>
    </row>
    <row r="165" spans="1:9">
      <c r="A165" s="510">
        <v>83</v>
      </c>
      <c r="B165" s="511">
        <v>0.24099999999999999</v>
      </c>
      <c r="C165" s="511">
        <v>0.24099999999999999</v>
      </c>
      <c r="D165" s="511">
        <v>0.23499999999999999</v>
      </c>
      <c r="E165" s="511">
        <v>0.221</v>
      </c>
      <c r="F165" s="511">
        <v>0.19700000000000001</v>
      </c>
      <c r="G165" s="511">
        <v>0.161</v>
      </c>
      <c r="H165" s="511">
        <v>0.114</v>
      </c>
      <c r="I165" s="511">
        <v>0.06</v>
      </c>
    </row>
    <row r="166" spans="1:9">
      <c r="A166" s="510">
        <v>83.5</v>
      </c>
      <c r="B166" s="511">
        <v>0.23400000000000001</v>
      </c>
      <c r="C166" s="511">
        <v>0.23400000000000001</v>
      </c>
      <c r="D166" s="511">
        <v>0.22900000000000001</v>
      </c>
      <c r="E166" s="511">
        <v>0.215</v>
      </c>
      <c r="F166" s="511">
        <v>0.192</v>
      </c>
      <c r="G166" s="511">
        <v>0.157</v>
      </c>
      <c r="H166" s="511">
        <v>0.111</v>
      </c>
      <c r="I166" s="511">
        <v>5.8000000000000003E-2</v>
      </c>
    </row>
    <row r="167" spans="1:9">
      <c r="A167" s="510">
        <v>84</v>
      </c>
      <c r="B167" s="511">
        <v>0.22700000000000001</v>
      </c>
      <c r="C167" s="511">
        <v>0.22700000000000001</v>
      </c>
      <c r="D167" s="511">
        <v>0.222</v>
      </c>
      <c r="E167" s="511">
        <v>0.20899999999999999</v>
      </c>
      <c r="F167" s="511">
        <v>0.186</v>
      </c>
      <c r="G167" s="511">
        <v>0.152</v>
      </c>
      <c r="H167" s="511">
        <v>0.108</v>
      </c>
      <c r="I167" s="511">
        <v>5.6000000000000001E-2</v>
      </c>
    </row>
    <row r="168" spans="1:9">
      <c r="A168" s="510">
        <v>84.5</v>
      </c>
      <c r="B168" s="511">
        <v>0.221</v>
      </c>
      <c r="C168" s="511">
        <v>0.221</v>
      </c>
      <c r="D168" s="511">
        <v>0.216</v>
      </c>
      <c r="E168" s="511">
        <v>0.20300000000000001</v>
      </c>
      <c r="F168" s="511">
        <v>0.18099999999999999</v>
      </c>
      <c r="G168" s="511">
        <v>0.14799999999999999</v>
      </c>
      <c r="H168" s="511">
        <v>0.105</v>
      </c>
      <c r="I168" s="511">
        <v>5.3999999999999999E-2</v>
      </c>
    </row>
    <row r="169" spans="1:9">
      <c r="A169" s="510">
        <v>85</v>
      </c>
      <c r="B169" s="511">
        <v>0.214</v>
      </c>
      <c r="C169" s="511">
        <v>0.214</v>
      </c>
      <c r="D169" s="511">
        <v>0.20899999999999999</v>
      </c>
      <c r="E169" s="511">
        <v>0.19700000000000001</v>
      </c>
      <c r="F169" s="511">
        <v>0.17499999999999999</v>
      </c>
      <c r="G169" s="511">
        <v>0.14299999999999999</v>
      </c>
      <c r="H169" s="511">
        <v>0.10199999999999999</v>
      </c>
      <c r="I169" s="511">
        <v>5.0999999999999997E-2</v>
      </c>
    </row>
    <row r="170" spans="1:9">
      <c r="A170" s="510">
        <v>85.5</v>
      </c>
      <c r="B170" s="511">
        <v>0.20699999999999999</v>
      </c>
      <c r="C170" s="511">
        <v>0.20699999999999999</v>
      </c>
      <c r="D170" s="511">
        <v>0.20200000000000001</v>
      </c>
      <c r="E170" s="511">
        <v>0.191</v>
      </c>
      <c r="F170" s="511">
        <v>0.17</v>
      </c>
      <c r="G170" s="511">
        <v>0.13900000000000001</v>
      </c>
      <c r="H170" s="511">
        <v>9.9000000000000005E-2</v>
      </c>
      <c r="I170" s="511">
        <v>4.8000000000000001E-2</v>
      </c>
    </row>
    <row r="171" spans="1:9">
      <c r="A171" s="510">
        <v>86</v>
      </c>
      <c r="B171" s="511">
        <v>0.2</v>
      </c>
      <c r="C171" s="511">
        <v>0.2</v>
      </c>
      <c r="D171" s="511">
        <v>0.19500000000000001</v>
      </c>
      <c r="E171" s="511">
        <v>0.184</v>
      </c>
      <c r="F171" s="511">
        <v>0.16400000000000001</v>
      </c>
      <c r="G171" s="511">
        <v>0.13400000000000001</v>
      </c>
      <c r="H171" s="511">
        <v>9.5000000000000001E-2</v>
      </c>
      <c r="I171" s="511">
        <v>4.4999999999999998E-2</v>
      </c>
    </row>
    <row r="172" spans="1:9">
      <c r="A172" s="510">
        <v>86.5</v>
      </c>
      <c r="B172" s="511">
        <v>0.19400000000000001</v>
      </c>
      <c r="C172" s="511">
        <v>0.19400000000000001</v>
      </c>
      <c r="D172" s="511">
        <v>0.189</v>
      </c>
      <c r="E172" s="511">
        <v>0.17799999999999999</v>
      </c>
      <c r="F172" s="511">
        <v>0.159</v>
      </c>
      <c r="G172" s="511">
        <v>0.13</v>
      </c>
      <c r="H172" s="511">
        <v>9.1999999999999998E-2</v>
      </c>
      <c r="I172" s="511">
        <v>4.4999999999999998E-2</v>
      </c>
    </row>
    <row r="173" spans="1:9">
      <c r="A173" s="510">
        <v>87</v>
      </c>
      <c r="B173" s="511">
        <v>0.187</v>
      </c>
      <c r="C173" s="511">
        <v>0.187</v>
      </c>
      <c r="D173" s="511">
        <v>0.182</v>
      </c>
      <c r="E173" s="511">
        <v>0.17199999999999999</v>
      </c>
      <c r="F173" s="511">
        <v>0.153</v>
      </c>
      <c r="G173" s="511">
        <v>0.125</v>
      </c>
      <c r="H173" s="511">
        <v>8.8999999999999996E-2</v>
      </c>
      <c r="I173" s="511">
        <v>4.3999999999999997E-2</v>
      </c>
    </row>
    <row r="174" spans="1:9">
      <c r="A174" s="510">
        <v>87.5</v>
      </c>
      <c r="B174" s="511">
        <v>0.18</v>
      </c>
      <c r="C174" s="511">
        <v>0.18</v>
      </c>
      <c r="D174" s="511">
        <v>0.17499999999999999</v>
      </c>
      <c r="E174" s="511">
        <v>0.16600000000000001</v>
      </c>
      <c r="F174" s="511">
        <v>0.14799999999999999</v>
      </c>
      <c r="G174" s="511">
        <v>0.12</v>
      </c>
      <c r="H174" s="511">
        <v>8.5999999999999993E-2</v>
      </c>
      <c r="I174" s="511">
        <v>4.3999999999999997E-2</v>
      </c>
    </row>
    <row r="175" spans="1:9">
      <c r="A175" s="510">
        <v>88</v>
      </c>
      <c r="B175" s="511">
        <v>0.17299999999999999</v>
      </c>
      <c r="C175" s="511">
        <v>0.17299999999999999</v>
      </c>
      <c r="D175" s="511">
        <v>0.16800000000000001</v>
      </c>
      <c r="E175" s="511">
        <v>0.159</v>
      </c>
      <c r="F175" s="511">
        <v>0.14199999999999999</v>
      </c>
      <c r="G175" s="511">
        <v>0.115</v>
      </c>
      <c r="H175" s="511">
        <v>8.2000000000000003E-2</v>
      </c>
      <c r="I175" s="511">
        <v>4.2999999999999997E-2</v>
      </c>
    </row>
    <row r="176" spans="1:9">
      <c r="A176" s="510">
        <v>88.5</v>
      </c>
      <c r="B176" s="511">
        <v>0.16600000000000001</v>
      </c>
      <c r="C176" s="511">
        <v>0.16600000000000001</v>
      </c>
      <c r="D176" s="511">
        <v>0.16200000000000001</v>
      </c>
      <c r="E176" s="511">
        <v>0.153</v>
      </c>
      <c r="F176" s="511">
        <v>0.13700000000000001</v>
      </c>
      <c r="G176" s="511">
        <v>0.111</v>
      </c>
      <c r="H176" s="511">
        <v>7.9000000000000001E-2</v>
      </c>
      <c r="I176" s="511">
        <v>4.2000000000000003E-2</v>
      </c>
    </row>
    <row r="177" spans="1:9">
      <c r="A177" s="510">
        <v>89</v>
      </c>
      <c r="B177" s="511">
        <v>0.159</v>
      </c>
      <c r="C177" s="511">
        <v>0.159</v>
      </c>
      <c r="D177" s="511">
        <v>0.155</v>
      </c>
      <c r="E177" s="511">
        <v>0.14599999999999999</v>
      </c>
      <c r="F177" s="511">
        <v>0.13100000000000001</v>
      </c>
      <c r="G177" s="511">
        <v>0.106</v>
      </c>
      <c r="H177" s="511">
        <v>7.5999999999999998E-2</v>
      </c>
      <c r="I177" s="511">
        <v>0.04</v>
      </c>
    </row>
    <row r="178" spans="1:9">
      <c r="A178" s="510">
        <v>89.5</v>
      </c>
      <c r="B178" s="511">
        <v>0.152</v>
      </c>
      <c r="C178" s="511">
        <v>0.152</v>
      </c>
      <c r="D178" s="511">
        <v>0.14799999999999999</v>
      </c>
      <c r="E178" s="511">
        <v>0.14000000000000001</v>
      </c>
      <c r="F178" s="511">
        <v>0.125</v>
      </c>
      <c r="G178" s="511">
        <v>0.10199999999999999</v>
      </c>
      <c r="H178" s="511">
        <v>7.2999999999999995E-2</v>
      </c>
      <c r="I178" s="511">
        <v>3.7999999999999999E-2</v>
      </c>
    </row>
    <row r="179" spans="1:9">
      <c r="A179" s="510">
        <v>90</v>
      </c>
      <c r="B179" s="511">
        <v>0.14499999999999999</v>
      </c>
      <c r="C179" s="511">
        <v>0.14499999999999999</v>
      </c>
      <c r="D179" s="511">
        <v>0.14099999999999999</v>
      </c>
      <c r="E179" s="511">
        <v>0.13300000000000001</v>
      </c>
      <c r="F179" s="511">
        <v>0.11899999999999999</v>
      </c>
      <c r="G179" s="511">
        <v>9.7000000000000003E-2</v>
      </c>
      <c r="H179" s="511">
        <v>6.9000000000000006E-2</v>
      </c>
      <c r="I179" s="511">
        <v>3.5999999999999997E-2</v>
      </c>
    </row>
    <row r="180" spans="1:9">
      <c r="A180" s="510">
        <v>90.5</v>
      </c>
      <c r="B180" s="511">
        <v>0.13800000000000001</v>
      </c>
      <c r="C180" s="511">
        <v>0.13800000000000001</v>
      </c>
      <c r="D180" s="511">
        <v>0.13500000000000001</v>
      </c>
      <c r="E180" s="511">
        <v>0.127</v>
      </c>
      <c r="F180" s="511">
        <v>0.114</v>
      </c>
      <c r="G180" s="511">
        <v>9.2999999999999999E-2</v>
      </c>
      <c r="H180" s="511">
        <v>6.6000000000000003E-2</v>
      </c>
      <c r="I180" s="511">
        <v>3.5000000000000003E-2</v>
      </c>
    </row>
    <row r="181" spans="1:9">
      <c r="A181" s="510">
        <v>91</v>
      </c>
      <c r="B181" s="511">
        <v>0.13100000000000001</v>
      </c>
      <c r="C181" s="511">
        <v>0.13100000000000001</v>
      </c>
      <c r="D181" s="511">
        <v>0.128</v>
      </c>
      <c r="E181" s="511">
        <v>0.12</v>
      </c>
      <c r="F181" s="511">
        <v>0.108</v>
      </c>
      <c r="G181" s="511">
        <v>8.7999999999999995E-2</v>
      </c>
      <c r="H181" s="511">
        <v>6.2E-2</v>
      </c>
      <c r="I181" s="511">
        <v>3.3000000000000002E-2</v>
      </c>
    </row>
    <row r="182" spans="1:9">
      <c r="A182" s="510">
        <v>91.5</v>
      </c>
      <c r="B182" s="511">
        <v>0.124</v>
      </c>
      <c r="C182" s="511">
        <v>0.124</v>
      </c>
      <c r="D182" s="511">
        <v>0.121</v>
      </c>
      <c r="E182" s="511">
        <v>0.114</v>
      </c>
      <c r="F182" s="511">
        <v>0.10199999999999999</v>
      </c>
      <c r="G182" s="511">
        <v>8.3000000000000004E-2</v>
      </c>
      <c r="H182" s="511">
        <v>5.8999999999999997E-2</v>
      </c>
      <c r="I182" s="511">
        <v>3.1E-2</v>
      </c>
    </row>
    <row r="183" spans="1:9">
      <c r="A183" s="510">
        <v>92</v>
      </c>
      <c r="B183" s="511">
        <v>0.11700000000000001</v>
      </c>
      <c r="C183" s="511">
        <v>0.11700000000000001</v>
      </c>
      <c r="D183" s="511">
        <v>0.114</v>
      </c>
      <c r="E183" s="511">
        <v>0.107</v>
      </c>
      <c r="F183" s="511">
        <v>9.6000000000000002E-2</v>
      </c>
      <c r="G183" s="511">
        <v>7.8E-2</v>
      </c>
      <c r="H183" s="511">
        <v>5.5E-2</v>
      </c>
      <c r="I183" s="511">
        <v>2.9000000000000001E-2</v>
      </c>
    </row>
    <row r="184" spans="1:9">
      <c r="A184" s="510">
        <v>92.5</v>
      </c>
      <c r="B184" s="511">
        <v>0.11</v>
      </c>
      <c r="C184" s="511">
        <v>0.11</v>
      </c>
      <c r="D184" s="511">
        <v>0.107</v>
      </c>
      <c r="E184" s="511">
        <v>0.10100000000000001</v>
      </c>
      <c r="F184" s="511">
        <v>0.09</v>
      </c>
      <c r="G184" s="511">
        <v>7.3999999999999996E-2</v>
      </c>
      <c r="H184" s="511">
        <v>5.1999999999999998E-2</v>
      </c>
      <c r="I184" s="511">
        <v>2.8000000000000001E-2</v>
      </c>
    </row>
    <row r="185" spans="1:9">
      <c r="A185" s="510">
        <v>93</v>
      </c>
      <c r="B185" s="511">
        <v>0.10299999999999999</v>
      </c>
      <c r="C185" s="511">
        <v>0.10299999999999999</v>
      </c>
      <c r="D185" s="511">
        <v>0.1</v>
      </c>
      <c r="E185" s="511">
        <v>9.4E-2</v>
      </c>
      <c r="F185" s="511">
        <v>8.4000000000000005E-2</v>
      </c>
      <c r="G185" s="511">
        <v>6.9000000000000006E-2</v>
      </c>
      <c r="H185" s="511">
        <v>4.9000000000000002E-2</v>
      </c>
      <c r="I185" s="511">
        <v>2.5999999999999999E-2</v>
      </c>
    </row>
    <row r="186" spans="1:9">
      <c r="A186" s="510">
        <v>93.5</v>
      </c>
      <c r="B186" s="511">
        <v>9.6000000000000002E-2</v>
      </c>
      <c r="C186" s="511">
        <v>9.6000000000000002E-2</v>
      </c>
      <c r="D186" s="511">
        <v>9.2999999999999999E-2</v>
      </c>
      <c r="E186" s="511">
        <v>8.7999999999999995E-2</v>
      </c>
      <c r="F186" s="511">
        <v>7.8E-2</v>
      </c>
      <c r="G186" s="511">
        <v>6.4000000000000001E-2</v>
      </c>
      <c r="H186" s="511">
        <v>4.5999999999999999E-2</v>
      </c>
      <c r="I186" s="511">
        <v>2.4E-2</v>
      </c>
    </row>
    <row r="187" spans="1:9">
      <c r="A187" s="510">
        <v>94</v>
      </c>
      <c r="B187" s="511">
        <v>8.7999999999999995E-2</v>
      </c>
      <c r="C187" s="511">
        <v>8.7999999999999995E-2</v>
      </c>
      <c r="D187" s="511">
        <v>8.5999999999999993E-2</v>
      </c>
      <c r="E187" s="511">
        <v>8.1000000000000003E-2</v>
      </c>
      <c r="F187" s="511">
        <v>7.1999999999999995E-2</v>
      </c>
      <c r="G187" s="511">
        <v>5.8999999999999997E-2</v>
      </c>
      <c r="H187" s="511">
        <v>4.2000000000000003E-2</v>
      </c>
      <c r="I187" s="511">
        <v>2.1999999999999999E-2</v>
      </c>
    </row>
    <row r="188" spans="1:9">
      <c r="A188" s="510">
        <v>94.5</v>
      </c>
      <c r="B188" s="511">
        <v>8.1000000000000003E-2</v>
      </c>
      <c r="C188" s="511">
        <v>8.1000000000000003E-2</v>
      </c>
      <c r="D188" s="511">
        <v>7.9000000000000001E-2</v>
      </c>
      <c r="E188" s="511">
        <v>7.4999999999999997E-2</v>
      </c>
      <c r="F188" s="511">
        <v>6.7000000000000004E-2</v>
      </c>
      <c r="G188" s="511">
        <v>5.5E-2</v>
      </c>
      <c r="H188" s="511">
        <v>3.9E-2</v>
      </c>
      <c r="I188" s="511">
        <v>2.1000000000000001E-2</v>
      </c>
    </row>
    <row r="189" spans="1:9">
      <c r="A189" s="510">
        <v>95</v>
      </c>
      <c r="B189" s="511">
        <v>7.3999999999999996E-2</v>
      </c>
      <c r="C189" s="511">
        <v>7.3999999999999996E-2</v>
      </c>
      <c r="D189" s="511">
        <v>7.1999999999999995E-2</v>
      </c>
      <c r="E189" s="511">
        <v>6.8000000000000005E-2</v>
      </c>
      <c r="F189" s="511">
        <v>6.0999999999999999E-2</v>
      </c>
      <c r="G189" s="511">
        <v>0.05</v>
      </c>
      <c r="H189" s="511">
        <v>3.5000000000000003E-2</v>
      </c>
      <c r="I189" s="511">
        <v>1.9E-2</v>
      </c>
    </row>
    <row r="190" spans="1:9">
      <c r="A190" s="510">
        <v>95.5</v>
      </c>
      <c r="B190" s="511">
        <v>6.7000000000000004E-2</v>
      </c>
      <c r="C190" s="511">
        <v>6.7000000000000004E-2</v>
      </c>
      <c r="D190" s="511">
        <v>6.5000000000000002E-2</v>
      </c>
      <c r="E190" s="511">
        <v>6.0999999999999999E-2</v>
      </c>
      <c r="F190" s="511">
        <v>5.5E-2</v>
      </c>
      <c r="G190" s="511">
        <v>4.4999999999999998E-2</v>
      </c>
      <c r="H190" s="511">
        <v>3.2000000000000001E-2</v>
      </c>
      <c r="I190" s="511">
        <v>1.7000000000000001E-2</v>
      </c>
    </row>
    <row r="191" spans="1:9">
      <c r="A191" s="510">
        <v>96</v>
      </c>
      <c r="B191" s="511">
        <v>5.8999999999999997E-2</v>
      </c>
      <c r="C191" s="511">
        <v>5.8999999999999997E-2</v>
      </c>
      <c r="D191" s="511">
        <v>5.8000000000000003E-2</v>
      </c>
      <c r="E191" s="511">
        <v>5.3999999999999999E-2</v>
      </c>
      <c r="F191" s="511">
        <v>4.9000000000000002E-2</v>
      </c>
      <c r="G191" s="511">
        <v>0.04</v>
      </c>
      <c r="H191" s="511">
        <v>2.8000000000000001E-2</v>
      </c>
      <c r="I191" s="511">
        <v>1.4999999999999999E-2</v>
      </c>
    </row>
    <row r="192" spans="1:9">
      <c r="A192" s="510">
        <v>96.5</v>
      </c>
      <c r="B192" s="511">
        <v>5.1999999999999998E-2</v>
      </c>
      <c r="C192" s="511">
        <v>5.1999999999999998E-2</v>
      </c>
      <c r="D192" s="511">
        <v>5.0999999999999997E-2</v>
      </c>
      <c r="E192" s="511">
        <v>4.8000000000000001E-2</v>
      </c>
      <c r="F192" s="511">
        <v>4.2999999999999997E-2</v>
      </c>
      <c r="G192" s="511">
        <v>3.5000000000000003E-2</v>
      </c>
      <c r="H192" s="511">
        <v>2.5000000000000001E-2</v>
      </c>
      <c r="I192" s="511">
        <v>1.2999999999999999E-2</v>
      </c>
    </row>
    <row r="193" spans="1:9">
      <c r="A193" s="510">
        <v>97</v>
      </c>
      <c r="B193" s="511">
        <v>4.4999999999999998E-2</v>
      </c>
      <c r="C193" s="511">
        <v>4.4999999999999998E-2</v>
      </c>
      <c r="D193" s="511">
        <v>4.3999999999999997E-2</v>
      </c>
      <c r="E193" s="511">
        <v>4.1000000000000002E-2</v>
      </c>
      <c r="F193" s="511">
        <v>3.6999999999999998E-2</v>
      </c>
      <c r="G193" s="511">
        <v>0.03</v>
      </c>
      <c r="H193" s="511">
        <v>2.1000000000000001E-2</v>
      </c>
      <c r="I193" s="511">
        <v>1.0999999999999999E-2</v>
      </c>
    </row>
    <row r="194" spans="1:9">
      <c r="A194" s="510">
        <v>97.5</v>
      </c>
      <c r="B194" s="511">
        <v>3.7999999999999999E-2</v>
      </c>
      <c r="C194" s="511">
        <v>3.7999999999999999E-2</v>
      </c>
      <c r="D194" s="511">
        <v>3.6999999999999998E-2</v>
      </c>
      <c r="E194" s="511">
        <v>3.4000000000000002E-2</v>
      </c>
      <c r="F194" s="511">
        <v>3.1E-2</v>
      </c>
      <c r="G194" s="511">
        <v>2.5000000000000001E-2</v>
      </c>
      <c r="H194" s="511">
        <v>1.7999999999999999E-2</v>
      </c>
      <c r="I194" s="511">
        <v>8.9999999999999993E-3</v>
      </c>
    </row>
    <row r="195" spans="1:9">
      <c r="A195" s="510">
        <v>98</v>
      </c>
      <c r="B195" s="511">
        <v>0.03</v>
      </c>
      <c r="C195" s="511">
        <v>0.03</v>
      </c>
      <c r="D195" s="511">
        <v>2.9000000000000001E-2</v>
      </c>
      <c r="E195" s="511">
        <v>2.7E-2</v>
      </c>
      <c r="F195" s="511">
        <v>2.4E-2</v>
      </c>
      <c r="G195" s="511">
        <v>0.02</v>
      </c>
      <c r="H195" s="511">
        <v>1.4E-2</v>
      </c>
      <c r="I195" s="511">
        <v>7.0000000000000001E-3</v>
      </c>
    </row>
    <row r="196" spans="1:9">
      <c r="A196" s="510">
        <v>98.5</v>
      </c>
      <c r="B196" s="511">
        <v>2.3E-2</v>
      </c>
      <c r="C196" s="511">
        <v>2.3E-2</v>
      </c>
      <c r="D196" s="511">
        <v>2.1999999999999999E-2</v>
      </c>
      <c r="E196" s="511">
        <v>2.1000000000000001E-2</v>
      </c>
      <c r="F196" s="511">
        <v>1.7999999999999999E-2</v>
      </c>
      <c r="G196" s="511">
        <v>1.4999999999999999E-2</v>
      </c>
      <c r="H196" s="511">
        <v>1.0999999999999999E-2</v>
      </c>
      <c r="I196" s="511">
        <v>6.0000000000000001E-3</v>
      </c>
    </row>
    <row r="197" spans="1:9">
      <c r="A197" s="510">
        <v>99</v>
      </c>
      <c r="B197" s="511">
        <v>1.4999999999999999E-2</v>
      </c>
      <c r="C197" s="511">
        <v>1.4999999999999999E-2</v>
      </c>
      <c r="D197" s="511">
        <v>1.4999999999999999E-2</v>
      </c>
      <c r="E197" s="511">
        <v>1.4E-2</v>
      </c>
      <c r="F197" s="511">
        <v>1.2E-2</v>
      </c>
      <c r="G197" s="511">
        <v>0.01</v>
      </c>
      <c r="H197" s="511">
        <v>7.0000000000000001E-3</v>
      </c>
      <c r="I197" s="511">
        <v>4.0000000000000001E-3</v>
      </c>
    </row>
    <row r="198" spans="1:9">
      <c r="A198" s="510">
        <v>99.5</v>
      </c>
      <c r="B198" s="511">
        <v>8.0000000000000002E-3</v>
      </c>
      <c r="C198" s="511">
        <v>8.0000000000000002E-3</v>
      </c>
      <c r="D198" s="511">
        <v>8.0000000000000002E-3</v>
      </c>
      <c r="E198" s="511">
        <v>7.0000000000000001E-3</v>
      </c>
      <c r="F198" s="511">
        <v>6.0000000000000001E-3</v>
      </c>
      <c r="G198" s="511">
        <v>5.0000000000000001E-3</v>
      </c>
      <c r="H198" s="511">
        <v>4.0000000000000001E-3</v>
      </c>
      <c r="I198" s="511">
        <v>2E-3</v>
      </c>
    </row>
    <row r="199" spans="1:9">
      <c r="A199" s="510">
        <v>100</v>
      </c>
      <c r="B199" s="511">
        <v>0</v>
      </c>
      <c r="C199" s="511">
        <v>0</v>
      </c>
      <c r="D199" s="511">
        <v>0</v>
      </c>
      <c r="E199" s="511">
        <v>0</v>
      </c>
      <c r="F199" s="511">
        <v>0</v>
      </c>
      <c r="G199" s="511">
        <v>0</v>
      </c>
      <c r="H199" s="511">
        <v>0</v>
      </c>
      <c r="I199" s="511">
        <v>0</v>
      </c>
    </row>
    <row r="201" spans="1:9">
      <c r="A201" s="486" t="s">
        <v>693</v>
      </c>
    </row>
    <row r="202" spans="1:9">
      <c r="A202" s="486" t="s">
        <v>740</v>
      </c>
    </row>
    <row r="203" spans="1:9">
      <c r="A203" s="486" t="s">
        <v>742</v>
      </c>
    </row>
    <row r="204" spans="1:9">
      <c r="A204" s="486" t="s">
        <v>744</v>
      </c>
    </row>
    <row r="205" spans="1:9">
      <c r="A205" s="486" t="s">
        <v>746</v>
      </c>
    </row>
    <row r="206" spans="1:9">
      <c r="A206" s="486" t="s">
        <v>748</v>
      </c>
    </row>
    <row r="207" spans="1:9">
      <c r="A207" s="486" t="s">
        <v>750</v>
      </c>
    </row>
    <row r="208" spans="1:9">
      <c r="A208" s="486" t="s">
        <v>705</v>
      </c>
    </row>
    <row r="209" spans="1:1">
      <c r="A209" s="486" t="s">
        <v>703</v>
      </c>
    </row>
    <row r="210" spans="1:1">
      <c r="A210" s="486" t="s">
        <v>754</v>
      </c>
    </row>
    <row r="211" spans="1:1">
      <c r="A211" s="486" t="s">
        <v>756</v>
      </c>
    </row>
    <row r="212" spans="1:1">
      <c r="A212" s="486" t="s">
        <v>758</v>
      </c>
    </row>
    <row r="213" spans="1:1">
      <c r="A213" s="486" t="s">
        <v>816</v>
      </c>
    </row>
    <row r="214" spans="1:1">
      <c r="A214" s="486" t="s">
        <v>817</v>
      </c>
    </row>
    <row r="215" spans="1:1">
      <c r="A215" s="486" t="s">
        <v>818</v>
      </c>
    </row>
    <row r="216" spans="1:1">
      <c r="A216" s="486" t="s">
        <v>819</v>
      </c>
    </row>
    <row r="217" spans="1:1">
      <c r="A217" s="486" t="s">
        <v>820</v>
      </c>
    </row>
    <row r="218" spans="1:1">
      <c r="A218" s="486" t="s">
        <v>821</v>
      </c>
    </row>
    <row r="219" spans="1:1">
      <c r="A219" s="486" t="s">
        <v>776</v>
      </c>
    </row>
    <row r="220" spans="1:1">
      <c r="A220" s="486" t="s">
        <v>779</v>
      </c>
    </row>
    <row r="221" spans="1:1">
      <c r="A221" s="486" t="s">
        <v>782</v>
      </c>
    </row>
    <row r="222" spans="1:1">
      <c r="A222" s="486" t="s">
        <v>822</v>
      </c>
    </row>
    <row r="223" spans="1:1">
      <c r="A223" s="486" t="s">
        <v>823</v>
      </c>
    </row>
    <row r="224" spans="1:1">
      <c r="A224" s="486" t="s">
        <v>824</v>
      </c>
    </row>
    <row r="225" spans="1:1">
      <c r="A225" s="486" t="s">
        <v>825</v>
      </c>
    </row>
    <row r="226" spans="1:1">
      <c r="A226" s="486" t="s">
        <v>826</v>
      </c>
    </row>
    <row r="227" spans="1:1">
      <c r="A227" s="486" t="s">
        <v>827</v>
      </c>
    </row>
    <row r="228" spans="1:1">
      <c r="A228" s="486" t="s">
        <v>798</v>
      </c>
    </row>
    <row r="229" spans="1:1">
      <c r="A229" s="486" t="s">
        <v>800</v>
      </c>
    </row>
    <row r="230" spans="1:1">
      <c r="A230" s="486" t="s">
        <v>802</v>
      </c>
    </row>
    <row r="231" spans="1:1">
      <c r="A231" s="486" t="s">
        <v>804</v>
      </c>
    </row>
    <row r="232" spans="1:1">
      <c r="A232" s="486" t="s">
        <v>806</v>
      </c>
    </row>
    <row r="233" spans="1:1">
      <c r="A233" s="486" t="s">
        <v>808</v>
      </c>
    </row>
    <row r="234" spans="1:1">
      <c r="A234" s="486" t="s">
        <v>810</v>
      </c>
    </row>
    <row r="235" spans="1:1">
      <c r="A235" s="486" t="s">
        <v>812</v>
      </c>
    </row>
    <row r="236" spans="1:1">
      <c r="A236" s="486" t="s">
        <v>814</v>
      </c>
    </row>
  </sheetData>
  <sheetProtection password="CC7E" sheet="1" objects="1" scenarios="1"/>
  <protectedRanges>
    <protectedRange sqref="M2:M4" name="Intervalo2_1"/>
    <protectedRange sqref="L8:M13" name="Intervalo1_1"/>
  </protectedRanges>
  <mergeCells count="1">
    <mergeCell ref="B1:I1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89"/>
  <sheetViews>
    <sheetView showGridLines="0" topLeftCell="A22" zoomScaleNormal="100" workbookViewId="0">
      <selection activeCell="B58" sqref="B58"/>
    </sheetView>
  </sheetViews>
  <sheetFormatPr defaultColWidth="0" defaultRowHeight="0" customHeight="1" zeroHeight="1"/>
  <cols>
    <col min="1" max="1" width="12.85546875" style="521" customWidth="1"/>
    <col min="2" max="2" width="18" style="521" bestFit="1" customWidth="1"/>
    <col min="3" max="3" width="15.7109375" style="521" customWidth="1"/>
    <col min="4" max="4" width="9.140625" style="521" customWidth="1"/>
    <col min="5" max="5" width="10" style="521" bestFit="1" customWidth="1"/>
    <col min="6" max="8" width="9.140625" style="521" customWidth="1"/>
    <col min="9" max="9" width="2.140625" style="521" customWidth="1"/>
    <col min="10" max="10" width="5.85546875" style="521" bestFit="1" customWidth="1"/>
    <col min="11" max="11" width="10.85546875" style="521" customWidth="1"/>
    <col min="12" max="18" width="9.140625" style="521" customWidth="1"/>
    <col min="19" max="19" width="2.42578125" style="521" customWidth="1"/>
    <col min="20" max="20" width="2.5703125" style="521" customWidth="1"/>
    <col min="21" max="21" width="11.42578125" style="521" customWidth="1"/>
    <col min="22" max="256" width="0" style="521" hidden="1"/>
    <col min="257" max="257" width="12.85546875" style="521" customWidth="1"/>
    <col min="258" max="258" width="18" style="521" bestFit="1" customWidth="1"/>
    <col min="259" max="259" width="15.7109375" style="521" customWidth="1"/>
    <col min="260" max="260" width="9.140625" style="521" customWidth="1"/>
    <col min="261" max="261" width="10" style="521" bestFit="1" customWidth="1"/>
    <col min="262" max="264" width="9.140625" style="521" customWidth="1"/>
    <col min="265" max="265" width="2.140625" style="521" customWidth="1"/>
    <col min="266" max="266" width="5.85546875" style="521" bestFit="1" customWidth="1"/>
    <col min="267" max="267" width="10.85546875" style="521" customWidth="1"/>
    <col min="268" max="274" width="9.140625" style="521" customWidth="1"/>
    <col min="275" max="275" width="2.42578125" style="521" customWidth="1"/>
    <col min="276" max="276" width="2.5703125" style="521" customWidth="1"/>
    <col min="277" max="277" width="11.42578125" style="521" customWidth="1"/>
    <col min="278" max="512" width="0" style="521" hidden="1"/>
    <col min="513" max="513" width="12.85546875" style="521" customWidth="1"/>
    <col min="514" max="514" width="18" style="521" bestFit="1" customWidth="1"/>
    <col min="515" max="515" width="15.7109375" style="521" customWidth="1"/>
    <col min="516" max="516" width="9.140625" style="521" customWidth="1"/>
    <col min="517" max="517" width="10" style="521" bestFit="1" customWidth="1"/>
    <col min="518" max="520" width="9.140625" style="521" customWidth="1"/>
    <col min="521" max="521" width="2.140625" style="521" customWidth="1"/>
    <col min="522" max="522" width="5.85546875" style="521" bestFit="1" customWidth="1"/>
    <col min="523" max="523" width="10.85546875" style="521" customWidth="1"/>
    <col min="524" max="530" width="9.140625" style="521" customWidth="1"/>
    <col min="531" max="531" width="2.42578125" style="521" customWidth="1"/>
    <col min="532" max="532" width="2.5703125" style="521" customWidth="1"/>
    <col min="533" max="533" width="11.42578125" style="521" customWidth="1"/>
    <col min="534" max="768" width="0" style="521" hidden="1"/>
    <col min="769" max="769" width="12.85546875" style="521" customWidth="1"/>
    <col min="770" max="770" width="18" style="521" bestFit="1" customWidth="1"/>
    <col min="771" max="771" width="15.7109375" style="521" customWidth="1"/>
    <col min="772" max="772" width="9.140625" style="521" customWidth="1"/>
    <col min="773" max="773" width="10" style="521" bestFit="1" customWidth="1"/>
    <col min="774" max="776" width="9.140625" style="521" customWidth="1"/>
    <col min="777" max="777" width="2.140625" style="521" customWidth="1"/>
    <col min="778" max="778" width="5.85546875" style="521" bestFit="1" customWidth="1"/>
    <col min="779" max="779" width="10.85546875" style="521" customWidth="1"/>
    <col min="780" max="786" width="9.140625" style="521" customWidth="1"/>
    <col min="787" max="787" width="2.42578125" style="521" customWidth="1"/>
    <col min="788" max="788" width="2.5703125" style="521" customWidth="1"/>
    <col min="789" max="789" width="11.42578125" style="521" customWidth="1"/>
    <col min="790" max="1024" width="0" style="521" hidden="1"/>
    <col min="1025" max="1025" width="12.85546875" style="521" customWidth="1"/>
    <col min="1026" max="1026" width="18" style="521" bestFit="1" customWidth="1"/>
    <col min="1027" max="1027" width="15.7109375" style="521" customWidth="1"/>
    <col min="1028" max="1028" width="9.140625" style="521" customWidth="1"/>
    <col min="1029" max="1029" width="10" style="521" bestFit="1" customWidth="1"/>
    <col min="1030" max="1032" width="9.140625" style="521" customWidth="1"/>
    <col min="1033" max="1033" width="2.140625" style="521" customWidth="1"/>
    <col min="1034" max="1034" width="5.85546875" style="521" bestFit="1" customWidth="1"/>
    <col min="1035" max="1035" width="10.85546875" style="521" customWidth="1"/>
    <col min="1036" max="1042" width="9.140625" style="521" customWidth="1"/>
    <col min="1043" max="1043" width="2.42578125" style="521" customWidth="1"/>
    <col min="1044" max="1044" width="2.5703125" style="521" customWidth="1"/>
    <col min="1045" max="1045" width="11.42578125" style="521" customWidth="1"/>
    <col min="1046" max="1280" width="0" style="521" hidden="1"/>
    <col min="1281" max="1281" width="12.85546875" style="521" customWidth="1"/>
    <col min="1282" max="1282" width="18" style="521" bestFit="1" customWidth="1"/>
    <col min="1283" max="1283" width="15.7109375" style="521" customWidth="1"/>
    <col min="1284" max="1284" width="9.140625" style="521" customWidth="1"/>
    <col min="1285" max="1285" width="10" style="521" bestFit="1" customWidth="1"/>
    <col min="1286" max="1288" width="9.140625" style="521" customWidth="1"/>
    <col min="1289" max="1289" width="2.140625" style="521" customWidth="1"/>
    <col min="1290" max="1290" width="5.85546875" style="521" bestFit="1" customWidth="1"/>
    <col min="1291" max="1291" width="10.85546875" style="521" customWidth="1"/>
    <col min="1292" max="1298" width="9.140625" style="521" customWidth="1"/>
    <col min="1299" max="1299" width="2.42578125" style="521" customWidth="1"/>
    <col min="1300" max="1300" width="2.5703125" style="521" customWidth="1"/>
    <col min="1301" max="1301" width="11.42578125" style="521" customWidth="1"/>
    <col min="1302" max="1536" width="0" style="521" hidden="1"/>
    <col min="1537" max="1537" width="12.85546875" style="521" customWidth="1"/>
    <col min="1538" max="1538" width="18" style="521" bestFit="1" customWidth="1"/>
    <col min="1539" max="1539" width="15.7109375" style="521" customWidth="1"/>
    <col min="1540" max="1540" width="9.140625" style="521" customWidth="1"/>
    <col min="1541" max="1541" width="10" style="521" bestFit="1" customWidth="1"/>
    <col min="1542" max="1544" width="9.140625" style="521" customWidth="1"/>
    <col min="1545" max="1545" width="2.140625" style="521" customWidth="1"/>
    <col min="1546" max="1546" width="5.85546875" style="521" bestFit="1" customWidth="1"/>
    <col min="1547" max="1547" width="10.85546875" style="521" customWidth="1"/>
    <col min="1548" max="1554" width="9.140625" style="521" customWidth="1"/>
    <col min="1555" max="1555" width="2.42578125" style="521" customWidth="1"/>
    <col min="1556" max="1556" width="2.5703125" style="521" customWidth="1"/>
    <col min="1557" max="1557" width="11.42578125" style="521" customWidth="1"/>
    <col min="1558" max="1792" width="0" style="521" hidden="1"/>
    <col min="1793" max="1793" width="12.85546875" style="521" customWidth="1"/>
    <col min="1794" max="1794" width="18" style="521" bestFit="1" customWidth="1"/>
    <col min="1795" max="1795" width="15.7109375" style="521" customWidth="1"/>
    <col min="1796" max="1796" width="9.140625" style="521" customWidth="1"/>
    <col min="1797" max="1797" width="10" style="521" bestFit="1" customWidth="1"/>
    <col min="1798" max="1800" width="9.140625" style="521" customWidth="1"/>
    <col min="1801" max="1801" width="2.140625" style="521" customWidth="1"/>
    <col min="1802" max="1802" width="5.85546875" style="521" bestFit="1" customWidth="1"/>
    <col min="1803" max="1803" width="10.85546875" style="521" customWidth="1"/>
    <col min="1804" max="1810" width="9.140625" style="521" customWidth="1"/>
    <col min="1811" max="1811" width="2.42578125" style="521" customWidth="1"/>
    <col min="1812" max="1812" width="2.5703125" style="521" customWidth="1"/>
    <col min="1813" max="1813" width="11.42578125" style="521" customWidth="1"/>
    <col min="1814" max="2048" width="0" style="521" hidden="1"/>
    <col min="2049" max="2049" width="12.85546875" style="521" customWidth="1"/>
    <col min="2050" max="2050" width="18" style="521" bestFit="1" customWidth="1"/>
    <col min="2051" max="2051" width="15.7109375" style="521" customWidth="1"/>
    <col min="2052" max="2052" width="9.140625" style="521" customWidth="1"/>
    <col min="2053" max="2053" width="10" style="521" bestFit="1" customWidth="1"/>
    <col min="2054" max="2056" width="9.140625" style="521" customWidth="1"/>
    <col min="2057" max="2057" width="2.140625" style="521" customWidth="1"/>
    <col min="2058" max="2058" width="5.85546875" style="521" bestFit="1" customWidth="1"/>
    <col min="2059" max="2059" width="10.85546875" style="521" customWidth="1"/>
    <col min="2060" max="2066" width="9.140625" style="521" customWidth="1"/>
    <col min="2067" max="2067" width="2.42578125" style="521" customWidth="1"/>
    <col min="2068" max="2068" width="2.5703125" style="521" customWidth="1"/>
    <col min="2069" max="2069" width="11.42578125" style="521" customWidth="1"/>
    <col min="2070" max="2304" width="0" style="521" hidden="1"/>
    <col min="2305" max="2305" width="12.85546875" style="521" customWidth="1"/>
    <col min="2306" max="2306" width="18" style="521" bestFit="1" customWidth="1"/>
    <col min="2307" max="2307" width="15.7109375" style="521" customWidth="1"/>
    <col min="2308" max="2308" width="9.140625" style="521" customWidth="1"/>
    <col min="2309" max="2309" width="10" style="521" bestFit="1" customWidth="1"/>
    <col min="2310" max="2312" width="9.140625" style="521" customWidth="1"/>
    <col min="2313" max="2313" width="2.140625" style="521" customWidth="1"/>
    <col min="2314" max="2314" width="5.85546875" style="521" bestFit="1" customWidth="1"/>
    <col min="2315" max="2315" width="10.85546875" style="521" customWidth="1"/>
    <col min="2316" max="2322" width="9.140625" style="521" customWidth="1"/>
    <col min="2323" max="2323" width="2.42578125" style="521" customWidth="1"/>
    <col min="2324" max="2324" width="2.5703125" style="521" customWidth="1"/>
    <col min="2325" max="2325" width="11.42578125" style="521" customWidth="1"/>
    <col min="2326" max="2560" width="0" style="521" hidden="1"/>
    <col min="2561" max="2561" width="12.85546875" style="521" customWidth="1"/>
    <col min="2562" max="2562" width="18" style="521" bestFit="1" customWidth="1"/>
    <col min="2563" max="2563" width="15.7109375" style="521" customWidth="1"/>
    <col min="2564" max="2564" width="9.140625" style="521" customWidth="1"/>
    <col min="2565" max="2565" width="10" style="521" bestFit="1" customWidth="1"/>
    <col min="2566" max="2568" width="9.140625" style="521" customWidth="1"/>
    <col min="2569" max="2569" width="2.140625" style="521" customWidth="1"/>
    <col min="2570" max="2570" width="5.85546875" style="521" bestFit="1" customWidth="1"/>
    <col min="2571" max="2571" width="10.85546875" style="521" customWidth="1"/>
    <col min="2572" max="2578" width="9.140625" style="521" customWidth="1"/>
    <col min="2579" max="2579" width="2.42578125" style="521" customWidth="1"/>
    <col min="2580" max="2580" width="2.5703125" style="521" customWidth="1"/>
    <col min="2581" max="2581" width="11.42578125" style="521" customWidth="1"/>
    <col min="2582" max="2816" width="0" style="521" hidden="1"/>
    <col min="2817" max="2817" width="12.85546875" style="521" customWidth="1"/>
    <col min="2818" max="2818" width="18" style="521" bestFit="1" customWidth="1"/>
    <col min="2819" max="2819" width="15.7109375" style="521" customWidth="1"/>
    <col min="2820" max="2820" width="9.140625" style="521" customWidth="1"/>
    <col min="2821" max="2821" width="10" style="521" bestFit="1" customWidth="1"/>
    <col min="2822" max="2824" width="9.140625" style="521" customWidth="1"/>
    <col min="2825" max="2825" width="2.140625" style="521" customWidth="1"/>
    <col min="2826" max="2826" width="5.85546875" style="521" bestFit="1" customWidth="1"/>
    <col min="2827" max="2827" width="10.85546875" style="521" customWidth="1"/>
    <col min="2828" max="2834" width="9.140625" style="521" customWidth="1"/>
    <col min="2835" max="2835" width="2.42578125" style="521" customWidth="1"/>
    <col min="2836" max="2836" width="2.5703125" style="521" customWidth="1"/>
    <col min="2837" max="2837" width="11.42578125" style="521" customWidth="1"/>
    <col min="2838" max="3072" width="0" style="521" hidden="1"/>
    <col min="3073" max="3073" width="12.85546875" style="521" customWidth="1"/>
    <col min="3074" max="3074" width="18" style="521" bestFit="1" customWidth="1"/>
    <col min="3075" max="3075" width="15.7109375" style="521" customWidth="1"/>
    <col min="3076" max="3076" width="9.140625" style="521" customWidth="1"/>
    <col min="3077" max="3077" width="10" style="521" bestFit="1" customWidth="1"/>
    <col min="3078" max="3080" width="9.140625" style="521" customWidth="1"/>
    <col min="3081" max="3081" width="2.140625" style="521" customWidth="1"/>
    <col min="3082" max="3082" width="5.85546875" style="521" bestFit="1" customWidth="1"/>
    <col min="3083" max="3083" width="10.85546875" style="521" customWidth="1"/>
    <col min="3084" max="3090" width="9.140625" style="521" customWidth="1"/>
    <col min="3091" max="3091" width="2.42578125" style="521" customWidth="1"/>
    <col min="3092" max="3092" width="2.5703125" style="521" customWidth="1"/>
    <col min="3093" max="3093" width="11.42578125" style="521" customWidth="1"/>
    <col min="3094" max="3328" width="0" style="521" hidden="1"/>
    <col min="3329" max="3329" width="12.85546875" style="521" customWidth="1"/>
    <col min="3330" max="3330" width="18" style="521" bestFit="1" customWidth="1"/>
    <col min="3331" max="3331" width="15.7109375" style="521" customWidth="1"/>
    <col min="3332" max="3332" width="9.140625" style="521" customWidth="1"/>
    <col min="3333" max="3333" width="10" style="521" bestFit="1" customWidth="1"/>
    <col min="3334" max="3336" width="9.140625" style="521" customWidth="1"/>
    <col min="3337" max="3337" width="2.140625" style="521" customWidth="1"/>
    <col min="3338" max="3338" width="5.85546875" style="521" bestFit="1" customWidth="1"/>
    <col min="3339" max="3339" width="10.85546875" style="521" customWidth="1"/>
    <col min="3340" max="3346" width="9.140625" style="521" customWidth="1"/>
    <col min="3347" max="3347" width="2.42578125" style="521" customWidth="1"/>
    <col min="3348" max="3348" width="2.5703125" style="521" customWidth="1"/>
    <col min="3349" max="3349" width="11.42578125" style="521" customWidth="1"/>
    <col min="3350" max="3584" width="0" style="521" hidden="1"/>
    <col min="3585" max="3585" width="12.85546875" style="521" customWidth="1"/>
    <col min="3586" max="3586" width="18" style="521" bestFit="1" customWidth="1"/>
    <col min="3587" max="3587" width="15.7109375" style="521" customWidth="1"/>
    <col min="3588" max="3588" width="9.140625" style="521" customWidth="1"/>
    <col min="3589" max="3589" width="10" style="521" bestFit="1" customWidth="1"/>
    <col min="3590" max="3592" width="9.140625" style="521" customWidth="1"/>
    <col min="3593" max="3593" width="2.140625" style="521" customWidth="1"/>
    <col min="3594" max="3594" width="5.85546875" style="521" bestFit="1" customWidth="1"/>
    <col min="3595" max="3595" width="10.85546875" style="521" customWidth="1"/>
    <col min="3596" max="3602" width="9.140625" style="521" customWidth="1"/>
    <col min="3603" max="3603" width="2.42578125" style="521" customWidth="1"/>
    <col min="3604" max="3604" width="2.5703125" style="521" customWidth="1"/>
    <col min="3605" max="3605" width="11.42578125" style="521" customWidth="1"/>
    <col min="3606" max="3840" width="0" style="521" hidden="1"/>
    <col min="3841" max="3841" width="12.85546875" style="521" customWidth="1"/>
    <col min="3842" max="3842" width="18" style="521" bestFit="1" customWidth="1"/>
    <col min="3843" max="3843" width="15.7109375" style="521" customWidth="1"/>
    <col min="3844" max="3844" width="9.140625" style="521" customWidth="1"/>
    <col min="3845" max="3845" width="10" style="521" bestFit="1" customWidth="1"/>
    <col min="3846" max="3848" width="9.140625" style="521" customWidth="1"/>
    <col min="3849" max="3849" width="2.140625" style="521" customWidth="1"/>
    <col min="3850" max="3850" width="5.85546875" style="521" bestFit="1" customWidth="1"/>
    <col min="3851" max="3851" width="10.85546875" style="521" customWidth="1"/>
    <col min="3852" max="3858" width="9.140625" style="521" customWidth="1"/>
    <col min="3859" max="3859" width="2.42578125" style="521" customWidth="1"/>
    <col min="3860" max="3860" width="2.5703125" style="521" customWidth="1"/>
    <col min="3861" max="3861" width="11.42578125" style="521" customWidth="1"/>
    <col min="3862" max="4096" width="0" style="521" hidden="1"/>
    <col min="4097" max="4097" width="12.85546875" style="521" customWidth="1"/>
    <col min="4098" max="4098" width="18" style="521" bestFit="1" customWidth="1"/>
    <col min="4099" max="4099" width="15.7109375" style="521" customWidth="1"/>
    <col min="4100" max="4100" width="9.140625" style="521" customWidth="1"/>
    <col min="4101" max="4101" width="10" style="521" bestFit="1" customWidth="1"/>
    <col min="4102" max="4104" width="9.140625" style="521" customWidth="1"/>
    <col min="4105" max="4105" width="2.140625" style="521" customWidth="1"/>
    <col min="4106" max="4106" width="5.85546875" style="521" bestFit="1" customWidth="1"/>
    <col min="4107" max="4107" width="10.85546875" style="521" customWidth="1"/>
    <col min="4108" max="4114" width="9.140625" style="521" customWidth="1"/>
    <col min="4115" max="4115" width="2.42578125" style="521" customWidth="1"/>
    <col min="4116" max="4116" width="2.5703125" style="521" customWidth="1"/>
    <col min="4117" max="4117" width="11.42578125" style="521" customWidth="1"/>
    <col min="4118" max="4352" width="0" style="521" hidden="1"/>
    <col min="4353" max="4353" width="12.85546875" style="521" customWidth="1"/>
    <col min="4354" max="4354" width="18" style="521" bestFit="1" customWidth="1"/>
    <col min="4355" max="4355" width="15.7109375" style="521" customWidth="1"/>
    <col min="4356" max="4356" width="9.140625" style="521" customWidth="1"/>
    <col min="4357" max="4357" width="10" style="521" bestFit="1" customWidth="1"/>
    <col min="4358" max="4360" width="9.140625" style="521" customWidth="1"/>
    <col min="4361" max="4361" width="2.140625" style="521" customWidth="1"/>
    <col min="4362" max="4362" width="5.85546875" style="521" bestFit="1" customWidth="1"/>
    <col min="4363" max="4363" width="10.85546875" style="521" customWidth="1"/>
    <col min="4364" max="4370" width="9.140625" style="521" customWidth="1"/>
    <col min="4371" max="4371" width="2.42578125" style="521" customWidth="1"/>
    <col min="4372" max="4372" width="2.5703125" style="521" customWidth="1"/>
    <col min="4373" max="4373" width="11.42578125" style="521" customWidth="1"/>
    <col min="4374" max="4608" width="0" style="521" hidden="1"/>
    <col min="4609" max="4609" width="12.85546875" style="521" customWidth="1"/>
    <col min="4610" max="4610" width="18" style="521" bestFit="1" customWidth="1"/>
    <col min="4611" max="4611" width="15.7109375" style="521" customWidth="1"/>
    <col min="4612" max="4612" width="9.140625" style="521" customWidth="1"/>
    <col min="4613" max="4613" width="10" style="521" bestFit="1" customWidth="1"/>
    <col min="4614" max="4616" width="9.140625" style="521" customWidth="1"/>
    <col min="4617" max="4617" width="2.140625" style="521" customWidth="1"/>
    <col min="4618" max="4618" width="5.85546875" style="521" bestFit="1" customWidth="1"/>
    <col min="4619" max="4619" width="10.85546875" style="521" customWidth="1"/>
    <col min="4620" max="4626" width="9.140625" style="521" customWidth="1"/>
    <col min="4627" max="4627" width="2.42578125" style="521" customWidth="1"/>
    <col min="4628" max="4628" width="2.5703125" style="521" customWidth="1"/>
    <col min="4629" max="4629" width="11.42578125" style="521" customWidth="1"/>
    <col min="4630" max="4864" width="0" style="521" hidden="1"/>
    <col min="4865" max="4865" width="12.85546875" style="521" customWidth="1"/>
    <col min="4866" max="4866" width="18" style="521" bestFit="1" customWidth="1"/>
    <col min="4867" max="4867" width="15.7109375" style="521" customWidth="1"/>
    <col min="4868" max="4868" width="9.140625" style="521" customWidth="1"/>
    <col min="4869" max="4869" width="10" style="521" bestFit="1" customWidth="1"/>
    <col min="4870" max="4872" width="9.140625" style="521" customWidth="1"/>
    <col min="4873" max="4873" width="2.140625" style="521" customWidth="1"/>
    <col min="4874" max="4874" width="5.85546875" style="521" bestFit="1" customWidth="1"/>
    <col min="4875" max="4875" width="10.85546875" style="521" customWidth="1"/>
    <col min="4876" max="4882" width="9.140625" style="521" customWidth="1"/>
    <col min="4883" max="4883" width="2.42578125" style="521" customWidth="1"/>
    <col min="4884" max="4884" width="2.5703125" style="521" customWidth="1"/>
    <col min="4885" max="4885" width="11.42578125" style="521" customWidth="1"/>
    <col min="4886" max="5120" width="0" style="521" hidden="1"/>
    <col min="5121" max="5121" width="12.85546875" style="521" customWidth="1"/>
    <col min="5122" max="5122" width="18" style="521" bestFit="1" customWidth="1"/>
    <col min="5123" max="5123" width="15.7109375" style="521" customWidth="1"/>
    <col min="5124" max="5124" width="9.140625" style="521" customWidth="1"/>
    <col min="5125" max="5125" width="10" style="521" bestFit="1" customWidth="1"/>
    <col min="5126" max="5128" width="9.140625" style="521" customWidth="1"/>
    <col min="5129" max="5129" width="2.140625" style="521" customWidth="1"/>
    <col min="5130" max="5130" width="5.85546875" style="521" bestFit="1" customWidth="1"/>
    <col min="5131" max="5131" width="10.85546875" style="521" customWidth="1"/>
    <col min="5132" max="5138" width="9.140625" style="521" customWidth="1"/>
    <col min="5139" max="5139" width="2.42578125" style="521" customWidth="1"/>
    <col min="5140" max="5140" width="2.5703125" style="521" customWidth="1"/>
    <col min="5141" max="5141" width="11.42578125" style="521" customWidth="1"/>
    <col min="5142" max="5376" width="0" style="521" hidden="1"/>
    <col min="5377" max="5377" width="12.85546875" style="521" customWidth="1"/>
    <col min="5378" max="5378" width="18" style="521" bestFit="1" customWidth="1"/>
    <col min="5379" max="5379" width="15.7109375" style="521" customWidth="1"/>
    <col min="5380" max="5380" width="9.140625" style="521" customWidth="1"/>
    <col min="5381" max="5381" width="10" style="521" bestFit="1" customWidth="1"/>
    <col min="5382" max="5384" width="9.140625" style="521" customWidth="1"/>
    <col min="5385" max="5385" width="2.140625" style="521" customWidth="1"/>
    <col min="5386" max="5386" width="5.85546875" style="521" bestFit="1" customWidth="1"/>
    <col min="5387" max="5387" width="10.85546875" style="521" customWidth="1"/>
    <col min="5388" max="5394" width="9.140625" style="521" customWidth="1"/>
    <col min="5395" max="5395" width="2.42578125" style="521" customWidth="1"/>
    <col min="5396" max="5396" width="2.5703125" style="521" customWidth="1"/>
    <col min="5397" max="5397" width="11.42578125" style="521" customWidth="1"/>
    <col min="5398" max="5632" width="0" style="521" hidden="1"/>
    <col min="5633" max="5633" width="12.85546875" style="521" customWidth="1"/>
    <col min="5634" max="5634" width="18" style="521" bestFit="1" customWidth="1"/>
    <col min="5635" max="5635" width="15.7109375" style="521" customWidth="1"/>
    <col min="5636" max="5636" width="9.140625" style="521" customWidth="1"/>
    <col min="5637" max="5637" width="10" style="521" bestFit="1" customWidth="1"/>
    <col min="5638" max="5640" width="9.140625" style="521" customWidth="1"/>
    <col min="5641" max="5641" width="2.140625" style="521" customWidth="1"/>
    <col min="5642" max="5642" width="5.85546875" style="521" bestFit="1" customWidth="1"/>
    <col min="5643" max="5643" width="10.85546875" style="521" customWidth="1"/>
    <col min="5644" max="5650" width="9.140625" style="521" customWidth="1"/>
    <col min="5651" max="5651" width="2.42578125" style="521" customWidth="1"/>
    <col min="5652" max="5652" width="2.5703125" style="521" customWidth="1"/>
    <col min="5653" max="5653" width="11.42578125" style="521" customWidth="1"/>
    <col min="5654" max="5888" width="0" style="521" hidden="1"/>
    <col min="5889" max="5889" width="12.85546875" style="521" customWidth="1"/>
    <col min="5890" max="5890" width="18" style="521" bestFit="1" customWidth="1"/>
    <col min="5891" max="5891" width="15.7109375" style="521" customWidth="1"/>
    <col min="5892" max="5892" width="9.140625" style="521" customWidth="1"/>
    <col min="5893" max="5893" width="10" style="521" bestFit="1" customWidth="1"/>
    <col min="5894" max="5896" width="9.140625" style="521" customWidth="1"/>
    <col min="5897" max="5897" width="2.140625" style="521" customWidth="1"/>
    <col min="5898" max="5898" width="5.85546875" style="521" bestFit="1" customWidth="1"/>
    <col min="5899" max="5899" width="10.85546875" style="521" customWidth="1"/>
    <col min="5900" max="5906" width="9.140625" style="521" customWidth="1"/>
    <col min="5907" max="5907" width="2.42578125" style="521" customWidth="1"/>
    <col min="5908" max="5908" width="2.5703125" style="521" customWidth="1"/>
    <col min="5909" max="5909" width="11.42578125" style="521" customWidth="1"/>
    <col min="5910" max="6144" width="0" style="521" hidden="1"/>
    <col min="6145" max="6145" width="12.85546875" style="521" customWidth="1"/>
    <col min="6146" max="6146" width="18" style="521" bestFit="1" customWidth="1"/>
    <col min="6147" max="6147" width="15.7109375" style="521" customWidth="1"/>
    <col min="6148" max="6148" width="9.140625" style="521" customWidth="1"/>
    <col min="6149" max="6149" width="10" style="521" bestFit="1" customWidth="1"/>
    <col min="6150" max="6152" width="9.140625" style="521" customWidth="1"/>
    <col min="6153" max="6153" width="2.140625" style="521" customWidth="1"/>
    <col min="6154" max="6154" width="5.85546875" style="521" bestFit="1" customWidth="1"/>
    <col min="6155" max="6155" width="10.85546875" style="521" customWidth="1"/>
    <col min="6156" max="6162" width="9.140625" style="521" customWidth="1"/>
    <col min="6163" max="6163" width="2.42578125" style="521" customWidth="1"/>
    <col min="6164" max="6164" width="2.5703125" style="521" customWidth="1"/>
    <col min="6165" max="6165" width="11.42578125" style="521" customWidth="1"/>
    <col min="6166" max="6400" width="0" style="521" hidden="1"/>
    <col min="6401" max="6401" width="12.85546875" style="521" customWidth="1"/>
    <col min="6402" max="6402" width="18" style="521" bestFit="1" customWidth="1"/>
    <col min="6403" max="6403" width="15.7109375" style="521" customWidth="1"/>
    <col min="6404" max="6404" width="9.140625" style="521" customWidth="1"/>
    <col min="6405" max="6405" width="10" style="521" bestFit="1" customWidth="1"/>
    <col min="6406" max="6408" width="9.140625" style="521" customWidth="1"/>
    <col min="6409" max="6409" width="2.140625" style="521" customWidth="1"/>
    <col min="6410" max="6410" width="5.85546875" style="521" bestFit="1" customWidth="1"/>
    <col min="6411" max="6411" width="10.85546875" style="521" customWidth="1"/>
    <col min="6412" max="6418" width="9.140625" style="521" customWidth="1"/>
    <col min="6419" max="6419" width="2.42578125" style="521" customWidth="1"/>
    <col min="6420" max="6420" width="2.5703125" style="521" customWidth="1"/>
    <col min="6421" max="6421" width="11.42578125" style="521" customWidth="1"/>
    <col min="6422" max="6656" width="0" style="521" hidden="1"/>
    <col min="6657" max="6657" width="12.85546875" style="521" customWidth="1"/>
    <col min="6658" max="6658" width="18" style="521" bestFit="1" customWidth="1"/>
    <col min="6659" max="6659" width="15.7109375" style="521" customWidth="1"/>
    <col min="6660" max="6660" width="9.140625" style="521" customWidth="1"/>
    <col min="6661" max="6661" width="10" style="521" bestFit="1" customWidth="1"/>
    <col min="6662" max="6664" width="9.140625" style="521" customWidth="1"/>
    <col min="6665" max="6665" width="2.140625" style="521" customWidth="1"/>
    <col min="6666" max="6666" width="5.85546875" style="521" bestFit="1" customWidth="1"/>
    <col min="6667" max="6667" width="10.85546875" style="521" customWidth="1"/>
    <col min="6668" max="6674" width="9.140625" style="521" customWidth="1"/>
    <col min="6675" max="6675" width="2.42578125" style="521" customWidth="1"/>
    <col min="6676" max="6676" width="2.5703125" style="521" customWidth="1"/>
    <col min="6677" max="6677" width="11.42578125" style="521" customWidth="1"/>
    <col min="6678" max="6912" width="0" style="521" hidden="1"/>
    <col min="6913" max="6913" width="12.85546875" style="521" customWidth="1"/>
    <col min="6914" max="6914" width="18" style="521" bestFit="1" customWidth="1"/>
    <col min="6915" max="6915" width="15.7109375" style="521" customWidth="1"/>
    <col min="6916" max="6916" width="9.140625" style="521" customWidth="1"/>
    <col min="6917" max="6917" width="10" style="521" bestFit="1" customWidth="1"/>
    <col min="6918" max="6920" width="9.140625" style="521" customWidth="1"/>
    <col min="6921" max="6921" width="2.140625" style="521" customWidth="1"/>
    <col min="6922" max="6922" width="5.85546875" style="521" bestFit="1" customWidth="1"/>
    <col min="6923" max="6923" width="10.85546875" style="521" customWidth="1"/>
    <col min="6924" max="6930" width="9.140625" style="521" customWidth="1"/>
    <col min="6931" max="6931" width="2.42578125" style="521" customWidth="1"/>
    <col min="6932" max="6932" width="2.5703125" style="521" customWidth="1"/>
    <col min="6933" max="6933" width="11.42578125" style="521" customWidth="1"/>
    <col min="6934" max="7168" width="0" style="521" hidden="1"/>
    <col min="7169" max="7169" width="12.85546875" style="521" customWidth="1"/>
    <col min="7170" max="7170" width="18" style="521" bestFit="1" customWidth="1"/>
    <col min="7171" max="7171" width="15.7109375" style="521" customWidth="1"/>
    <col min="7172" max="7172" width="9.140625" style="521" customWidth="1"/>
    <col min="7173" max="7173" width="10" style="521" bestFit="1" customWidth="1"/>
    <col min="7174" max="7176" width="9.140625" style="521" customWidth="1"/>
    <col min="7177" max="7177" width="2.140625" style="521" customWidth="1"/>
    <col min="7178" max="7178" width="5.85546875" style="521" bestFit="1" customWidth="1"/>
    <col min="7179" max="7179" width="10.85546875" style="521" customWidth="1"/>
    <col min="7180" max="7186" width="9.140625" style="521" customWidth="1"/>
    <col min="7187" max="7187" width="2.42578125" style="521" customWidth="1"/>
    <col min="7188" max="7188" width="2.5703125" style="521" customWidth="1"/>
    <col min="7189" max="7189" width="11.42578125" style="521" customWidth="1"/>
    <col min="7190" max="7424" width="0" style="521" hidden="1"/>
    <col min="7425" max="7425" width="12.85546875" style="521" customWidth="1"/>
    <col min="7426" max="7426" width="18" style="521" bestFit="1" customWidth="1"/>
    <col min="7427" max="7427" width="15.7109375" style="521" customWidth="1"/>
    <col min="7428" max="7428" width="9.140625" style="521" customWidth="1"/>
    <col min="7429" max="7429" width="10" style="521" bestFit="1" customWidth="1"/>
    <col min="7430" max="7432" width="9.140625" style="521" customWidth="1"/>
    <col min="7433" max="7433" width="2.140625" style="521" customWidth="1"/>
    <col min="7434" max="7434" width="5.85546875" style="521" bestFit="1" customWidth="1"/>
    <col min="7435" max="7435" width="10.85546875" style="521" customWidth="1"/>
    <col min="7436" max="7442" width="9.140625" style="521" customWidth="1"/>
    <col min="7443" max="7443" width="2.42578125" style="521" customWidth="1"/>
    <col min="7444" max="7444" width="2.5703125" style="521" customWidth="1"/>
    <col min="7445" max="7445" width="11.42578125" style="521" customWidth="1"/>
    <col min="7446" max="7680" width="0" style="521" hidden="1"/>
    <col min="7681" max="7681" width="12.85546875" style="521" customWidth="1"/>
    <col min="7682" max="7682" width="18" style="521" bestFit="1" customWidth="1"/>
    <col min="7683" max="7683" width="15.7109375" style="521" customWidth="1"/>
    <col min="7684" max="7684" width="9.140625" style="521" customWidth="1"/>
    <col min="7685" max="7685" width="10" style="521" bestFit="1" customWidth="1"/>
    <col min="7686" max="7688" width="9.140625" style="521" customWidth="1"/>
    <col min="7689" max="7689" width="2.140625" style="521" customWidth="1"/>
    <col min="7690" max="7690" width="5.85546875" style="521" bestFit="1" customWidth="1"/>
    <col min="7691" max="7691" width="10.85546875" style="521" customWidth="1"/>
    <col min="7692" max="7698" width="9.140625" style="521" customWidth="1"/>
    <col min="7699" max="7699" width="2.42578125" style="521" customWidth="1"/>
    <col min="7700" max="7700" width="2.5703125" style="521" customWidth="1"/>
    <col min="7701" max="7701" width="11.42578125" style="521" customWidth="1"/>
    <col min="7702" max="7936" width="0" style="521" hidden="1"/>
    <col min="7937" max="7937" width="12.85546875" style="521" customWidth="1"/>
    <col min="7938" max="7938" width="18" style="521" bestFit="1" customWidth="1"/>
    <col min="7939" max="7939" width="15.7109375" style="521" customWidth="1"/>
    <col min="7940" max="7940" width="9.140625" style="521" customWidth="1"/>
    <col min="7941" max="7941" width="10" style="521" bestFit="1" customWidth="1"/>
    <col min="7942" max="7944" width="9.140625" style="521" customWidth="1"/>
    <col min="7945" max="7945" width="2.140625" style="521" customWidth="1"/>
    <col min="7946" max="7946" width="5.85546875" style="521" bestFit="1" customWidth="1"/>
    <col min="7947" max="7947" width="10.85546875" style="521" customWidth="1"/>
    <col min="7948" max="7954" width="9.140625" style="521" customWidth="1"/>
    <col min="7955" max="7955" width="2.42578125" style="521" customWidth="1"/>
    <col min="7956" max="7956" width="2.5703125" style="521" customWidth="1"/>
    <col min="7957" max="7957" width="11.42578125" style="521" customWidth="1"/>
    <col min="7958" max="8192" width="0" style="521" hidden="1"/>
    <col min="8193" max="8193" width="12.85546875" style="521" customWidth="1"/>
    <col min="8194" max="8194" width="18" style="521" bestFit="1" customWidth="1"/>
    <col min="8195" max="8195" width="15.7109375" style="521" customWidth="1"/>
    <col min="8196" max="8196" width="9.140625" style="521" customWidth="1"/>
    <col min="8197" max="8197" width="10" style="521" bestFit="1" customWidth="1"/>
    <col min="8198" max="8200" width="9.140625" style="521" customWidth="1"/>
    <col min="8201" max="8201" width="2.140625" style="521" customWidth="1"/>
    <col min="8202" max="8202" width="5.85546875" style="521" bestFit="1" customWidth="1"/>
    <col min="8203" max="8203" width="10.85546875" style="521" customWidth="1"/>
    <col min="8204" max="8210" width="9.140625" style="521" customWidth="1"/>
    <col min="8211" max="8211" width="2.42578125" style="521" customWidth="1"/>
    <col min="8212" max="8212" width="2.5703125" style="521" customWidth="1"/>
    <col min="8213" max="8213" width="11.42578125" style="521" customWidth="1"/>
    <col min="8214" max="8448" width="0" style="521" hidden="1"/>
    <col min="8449" max="8449" width="12.85546875" style="521" customWidth="1"/>
    <col min="8450" max="8450" width="18" style="521" bestFit="1" customWidth="1"/>
    <col min="8451" max="8451" width="15.7109375" style="521" customWidth="1"/>
    <col min="8452" max="8452" width="9.140625" style="521" customWidth="1"/>
    <col min="8453" max="8453" width="10" style="521" bestFit="1" customWidth="1"/>
    <col min="8454" max="8456" width="9.140625" style="521" customWidth="1"/>
    <col min="8457" max="8457" width="2.140625" style="521" customWidth="1"/>
    <col min="8458" max="8458" width="5.85546875" style="521" bestFit="1" customWidth="1"/>
    <col min="8459" max="8459" width="10.85546875" style="521" customWidth="1"/>
    <col min="8460" max="8466" width="9.140625" style="521" customWidth="1"/>
    <col min="8467" max="8467" width="2.42578125" style="521" customWidth="1"/>
    <col min="8468" max="8468" width="2.5703125" style="521" customWidth="1"/>
    <col min="8469" max="8469" width="11.42578125" style="521" customWidth="1"/>
    <col min="8470" max="8704" width="0" style="521" hidden="1"/>
    <col min="8705" max="8705" width="12.85546875" style="521" customWidth="1"/>
    <col min="8706" max="8706" width="18" style="521" bestFit="1" customWidth="1"/>
    <col min="8707" max="8707" width="15.7109375" style="521" customWidth="1"/>
    <col min="8708" max="8708" width="9.140625" style="521" customWidth="1"/>
    <col min="8709" max="8709" width="10" style="521" bestFit="1" customWidth="1"/>
    <col min="8710" max="8712" width="9.140625" style="521" customWidth="1"/>
    <col min="8713" max="8713" width="2.140625" style="521" customWidth="1"/>
    <col min="8714" max="8714" width="5.85546875" style="521" bestFit="1" customWidth="1"/>
    <col min="8715" max="8715" width="10.85546875" style="521" customWidth="1"/>
    <col min="8716" max="8722" width="9.140625" style="521" customWidth="1"/>
    <col min="8723" max="8723" width="2.42578125" style="521" customWidth="1"/>
    <col min="8724" max="8724" width="2.5703125" style="521" customWidth="1"/>
    <col min="8725" max="8725" width="11.42578125" style="521" customWidth="1"/>
    <col min="8726" max="8960" width="0" style="521" hidden="1"/>
    <col min="8961" max="8961" width="12.85546875" style="521" customWidth="1"/>
    <col min="8962" max="8962" width="18" style="521" bestFit="1" customWidth="1"/>
    <col min="8963" max="8963" width="15.7109375" style="521" customWidth="1"/>
    <col min="8964" max="8964" width="9.140625" style="521" customWidth="1"/>
    <col min="8965" max="8965" width="10" style="521" bestFit="1" customWidth="1"/>
    <col min="8966" max="8968" width="9.140625" style="521" customWidth="1"/>
    <col min="8969" max="8969" width="2.140625" style="521" customWidth="1"/>
    <col min="8970" max="8970" width="5.85546875" style="521" bestFit="1" customWidth="1"/>
    <col min="8971" max="8971" width="10.85546875" style="521" customWidth="1"/>
    <col min="8972" max="8978" width="9.140625" style="521" customWidth="1"/>
    <col min="8979" max="8979" width="2.42578125" style="521" customWidth="1"/>
    <col min="8980" max="8980" width="2.5703125" style="521" customWidth="1"/>
    <col min="8981" max="8981" width="11.42578125" style="521" customWidth="1"/>
    <col min="8982" max="9216" width="0" style="521" hidden="1"/>
    <col min="9217" max="9217" width="12.85546875" style="521" customWidth="1"/>
    <col min="9218" max="9218" width="18" style="521" bestFit="1" customWidth="1"/>
    <col min="9219" max="9219" width="15.7109375" style="521" customWidth="1"/>
    <col min="9220" max="9220" width="9.140625" style="521" customWidth="1"/>
    <col min="9221" max="9221" width="10" style="521" bestFit="1" customWidth="1"/>
    <col min="9222" max="9224" width="9.140625" style="521" customWidth="1"/>
    <col min="9225" max="9225" width="2.140625" style="521" customWidth="1"/>
    <col min="9226" max="9226" width="5.85546875" style="521" bestFit="1" customWidth="1"/>
    <col min="9227" max="9227" width="10.85546875" style="521" customWidth="1"/>
    <col min="9228" max="9234" width="9.140625" style="521" customWidth="1"/>
    <col min="9235" max="9235" width="2.42578125" style="521" customWidth="1"/>
    <col min="9236" max="9236" width="2.5703125" style="521" customWidth="1"/>
    <col min="9237" max="9237" width="11.42578125" style="521" customWidth="1"/>
    <col min="9238" max="9472" width="0" style="521" hidden="1"/>
    <col min="9473" max="9473" width="12.85546875" style="521" customWidth="1"/>
    <col min="9474" max="9474" width="18" style="521" bestFit="1" customWidth="1"/>
    <col min="9475" max="9475" width="15.7109375" style="521" customWidth="1"/>
    <col min="9476" max="9476" width="9.140625" style="521" customWidth="1"/>
    <col min="9477" max="9477" width="10" style="521" bestFit="1" customWidth="1"/>
    <col min="9478" max="9480" width="9.140625" style="521" customWidth="1"/>
    <col min="9481" max="9481" width="2.140625" style="521" customWidth="1"/>
    <col min="9482" max="9482" width="5.85546875" style="521" bestFit="1" customWidth="1"/>
    <col min="9483" max="9483" width="10.85546875" style="521" customWidth="1"/>
    <col min="9484" max="9490" width="9.140625" style="521" customWidth="1"/>
    <col min="9491" max="9491" width="2.42578125" style="521" customWidth="1"/>
    <col min="9492" max="9492" width="2.5703125" style="521" customWidth="1"/>
    <col min="9493" max="9493" width="11.42578125" style="521" customWidth="1"/>
    <col min="9494" max="9728" width="0" style="521" hidden="1"/>
    <col min="9729" max="9729" width="12.85546875" style="521" customWidth="1"/>
    <col min="9730" max="9730" width="18" style="521" bestFit="1" customWidth="1"/>
    <col min="9731" max="9731" width="15.7109375" style="521" customWidth="1"/>
    <col min="9732" max="9732" width="9.140625" style="521" customWidth="1"/>
    <col min="9733" max="9733" width="10" style="521" bestFit="1" customWidth="1"/>
    <col min="9734" max="9736" width="9.140625" style="521" customWidth="1"/>
    <col min="9737" max="9737" width="2.140625" style="521" customWidth="1"/>
    <col min="9738" max="9738" width="5.85546875" style="521" bestFit="1" customWidth="1"/>
    <col min="9739" max="9739" width="10.85546875" style="521" customWidth="1"/>
    <col min="9740" max="9746" width="9.140625" style="521" customWidth="1"/>
    <col min="9747" max="9747" width="2.42578125" style="521" customWidth="1"/>
    <col min="9748" max="9748" width="2.5703125" style="521" customWidth="1"/>
    <col min="9749" max="9749" width="11.42578125" style="521" customWidth="1"/>
    <col min="9750" max="9984" width="0" style="521" hidden="1"/>
    <col min="9985" max="9985" width="12.85546875" style="521" customWidth="1"/>
    <col min="9986" max="9986" width="18" style="521" bestFit="1" customWidth="1"/>
    <col min="9987" max="9987" width="15.7109375" style="521" customWidth="1"/>
    <col min="9988" max="9988" width="9.140625" style="521" customWidth="1"/>
    <col min="9989" max="9989" width="10" style="521" bestFit="1" customWidth="1"/>
    <col min="9990" max="9992" width="9.140625" style="521" customWidth="1"/>
    <col min="9993" max="9993" width="2.140625" style="521" customWidth="1"/>
    <col min="9994" max="9994" width="5.85546875" style="521" bestFit="1" customWidth="1"/>
    <col min="9995" max="9995" width="10.85546875" style="521" customWidth="1"/>
    <col min="9996" max="10002" width="9.140625" style="521" customWidth="1"/>
    <col min="10003" max="10003" width="2.42578125" style="521" customWidth="1"/>
    <col min="10004" max="10004" width="2.5703125" style="521" customWidth="1"/>
    <col min="10005" max="10005" width="11.42578125" style="521" customWidth="1"/>
    <col min="10006" max="10240" width="0" style="521" hidden="1"/>
    <col min="10241" max="10241" width="12.85546875" style="521" customWidth="1"/>
    <col min="10242" max="10242" width="18" style="521" bestFit="1" customWidth="1"/>
    <col min="10243" max="10243" width="15.7109375" style="521" customWidth="1"/>
    <col min="10244" max="10244" width="9.140625" style="521" customWidth="1"/>
    <col min="10245" max="10245" width="10" style="521" bestFit="1" customWidth="1"/>
    <col min="10246" max="10248" width="9.140625" style="521" customWidth="1"/>
    <col min="10249" max="10249" width="2.140625" style="521" customWidth="1"/>
    <col min="10250" max="10250" width="5.85546875" style="521" bestFit="1" customWidth="1"/>
    <col min="10251" max="10251" width="10.85546875" style="521" customWidth="1"/>
    <col min="10252" max="10258" width="9.140625" style="521" customWidth="1"/>
    <col min="10259" max="10259" width="2.42578125" style="521" customWidth="1"/>
    <col min="10260" max="10260" width="2.5703125" style="521" customWidth="1"/>
    <col min="10261" max="10261" width="11.42578125" style="521" customWidth="1"/>
    <col min="10262" max="10496" width="0" style="521" hidden="1"/>
    <col min="10497" max="10497" width="12.85546875" style="521" customWidth="1"/>
    <col min="10498" max="10498" width="18" style="521" bestFit="1" customWidth="1"/>
    <col min="10499" max="10499" width="15.7109375" style="521" customWidth="1"/>
    <col min="10500" max="10500" width="9.140625" style="521" customWidth="1"/>
    <col min="10501" max="10501" width="10" style="521" bestFit="1" customWidth="1"/>
    <col min="10502" max="10504" width="9.140625" style="521" customWidth="1"/>
    <col min="10505" max="10505" width="2.140625" style="521" customWidth="1"/>
    <col min="10506" max="10506" width="5.85546875" style="521" bestFit="1" customWidth="1"/>
    <col min="10507" max="10507" width="10.85546875" style="521" customWidth="1"/>
    <col min="10508" max="10514" width="9.140625" style="521" customWidth="1"/>
    <col min="10515" max="10515" width="2.42578125" style="521" customWidth="1"/>
    <col min="10516" max="10516" width="2.5703125" style="521" customWidth="1"/>
    <col min="10517" max="10517" width="11.42578125" style="521" customWidth="1"/>
    <col min="10518" max="10752" width="0" style="521" hidden="1"/>
    <col min="10753" max="10753" width="12.85546875" style="521" customWidth="1"/>
    <col min="10754" max="10754" width="18" style="521" bestFit="1" customWidth="1"/>
    <col min="10755" max="10755" width="15.7109375" style="521" customWidth="1"/>
    <col min="10756" max="10756" width="9.140625" style="521" customWidth="1"/>
    <col min="10757" max="10757" width="10" style="521" bestFit="1" customWidth="1"/>
    <col min="10758" max="10760" width="9.140625" style="521" customWidth="1"/>
    <col min="10761" max="10761" width="2.140625" style="521" customWidth="1"/>
    <col min="10762" max="10762" width="5.85546875" style="521" bestFit="1" customWidth="1"/>
    <col min="10763" max="10763" width="10.85546875" style="521" customWidth="1"/>
    <col min="10764" max="10770" width="9.140625" style="521" customWidth="1"/>
    <col min="10771" max="10771" width="2.42578125" style="521" customWidth="1"/>
    <col min="10772" max="10772" width="2.5703125" style="521" customWidth="1"/>
    <col min="10773" max="10773" width="11.42578125" style="521" customWidth="1"/>
    <col min="10774" max="11008" width="0" style="521" hidden="1"/>
    <col min="11009" max="11009" width="12.85546875" style="521" customWidth="1"/>
    <col min="11010" max="11010" width="18" style="521" bestFit="1" customWidth="1"/>
    <col min="11011" max="11011" width="15.7109375" style="521" customWidth="1"/>
    <col min="11012" max="11012" width="9.140625" style="521" customWidth="1"/>
    <col min="11013" max="11013" width="10" style="521" bestFit="1" customWidth="1"/>
    <col min="11014" max="11016" width="9.140625" style="521" customWidth="1"/>
    <col min="11017" max="11017" width="2.140625" style="521" customWidth="1"/>
    <col min="11018" max="11018" width="5.85546875" style="521" bestFit="1" customWidth="1"/>
    <col min="11019" max="11019" width="10.85546875" style="521" customWidth="1"/>
    <col min="11020" max="11026" width="9.140625" style="521" customWidth="1"/>
    <col min="11027" max="11027" width="2.42578125" style="521" customWidth="1"/>
    <col min="11028" max="11028" width="2.5703125" style="521" customWidth="1"/>
    <col min="11029" max="11029" width="11.42578125" style="521" customWidth="1"/>
    <col min="11030" max="11264" width="0" style="521" hidden="1"/>
    <col min="11265" max="11265" width="12.85546875" style="521" customWidth="1"/>
    <col min="11266" max="11266" width="18" style="521" bestFit="1" customWidth="1"/>
    <col min="11267" max="11267" width="15.7109375" style="521" customWidth="1"/>
    <col min="11268" max="11268" width="9.140625" style="521" customWidth="1"/>
    <col min="11269" max="11269" width="10" style="521" bestFit="1" customWidth="1"/>
    <col min="11270" max="11272" width="9.140625" style="521" customWidth="1"/>
    <col min="11273" max="11273" width="2.140625" style="521" customWidth="1"/>
    <col min="11274" max="11274" width="5.85546875" style="521" bestFit="1" customWidth="1"/>
    <col min="11275" max="11275" width="10.85546875" style="521" customWidth="1"/>
    <col min="11276" max="11282" width="9.140625" style="521" customWidth="1"/>
    <col min="11283" max="11283" width="2.42578125" style="521" customWidth="1"/>
    <col min="11284" max="11284" width="2.5703125" style="521" customWidth="1"/>
    <col min="11285" max="11285" width="11.42578125" style="521" customWidth="1"/>
    <col min="11286" max="11520" width="0" style="521" hidden="1"/>
    <col min="11521" max="11521" width="12.85546875" style="521" customWidth="1"/>
    <col min="11522" max="11522" width="18" style="521" bestFit="1" customWidth="1"/>
    <col min="11523" max="11523" width="15.7109375" style="521" customWidth="1"/>
    <col min="11524" max="11524" width="9.140625" style="521" customWidth="1"/>
    <col min="11525" max="11525" width="10" style="521" bestFit="1" customWidth="1"/>
    <col min="11526" max="11528" width="9.140625" style="521" customWidth="1"/>
    <col min="11529" max="11529" width="2.140625" style="521" customWidth="1"/>
    <col min="11530" max="11530" width="5.85546875" style="521" bestFit="1" customWidth="1"/>
    <col min="11531" max="11531" width="10.85546875" style="521" customWidth="1"/>
    <col min="11532" max="11538" width="9.140625" style="521" customWidth="1"/>
    <col min="11539" max="11539" width="2.42578125" style="521" customWidth="1"/>
    <col min="11540" max="11540" width="2.5703125" style="521" customWidth="1"/>
    <col min="11541" max="11541" width="11.42578125" style="521" customWidth="1"/>
    <col min="11542" max="11776" width="0" style="521" hidden="1"/>
    <col min="11777" max="11777" width="12.85546875" style="521" customWidth="1"/>
    <col min="11778" max="11778" width="18" style="521" bestFit="1" customWidth="1"/>
    <col min="11779" max="11779" width="15.7109375" style="521" customWidth="1"/>
    <col min="11780" max="11780" width="9.140625" style="521" customWidth="1"/>
    <col min="11781" max="11781" width="10" style="521" bestFit="1" customWidth="1"/>
    <col min="11782" max="11784" width="9.140625" style="521" customWidth="1"/>
    <col min="11785" max="11785" width="2.140625" style="521" customWidth="1"/>
    <col min="11786" max="11786" width="5.85546875" style="521" bestFit="1" customWidth="1"/>
    <col min="11787" max="11787" width="10.85546875" style="521" customWidth="1"/>
    <col min="11788" max="11794" width="9.140625" style="521" customWidth="1"/>
    <col min="11795" max="11795" width="2.42578125" style="521" customWidth="1"/>
    <col min="11796" max="11796" width="2.5703125" style="521" customWidth="1"/>
    <col min="11797" max="11797" width="11.42578125" style="521" customWidth="1"/>
    <col min="11798" max="12032" width="0" style="521" hidden="1"/>
    <col min="12033" max="12033" width="12.85546875" style="521" customWidth="1"/>
    <col min="12034" max="12034" width="18" style="521" bestFit="1" customWidth="1"/>
    <col min="12035" max="12035" width="15.7109375" style="521" customWidth="1"/>
    <col min="12036" max="12036" width="9.140625" style="521" customWidth="1"/>
    <col min="12037" max="12037" width="10" style="521" bestFit="1" customWidth="1"/>
    <col min="12038" max="12040" width="9.140625" style="521" customWidth="1"/>
    <col min="12041" max="12041" width="2.140625" style="521" customWidth="1"/>
    <col min="12042" max="12042" width="5.85546875" style="521" bestFit="1" customWidth="1"/>
    <col min="12043" max="12043" width="10.85546875" style="521" customWidth="1"/>
    <col min="12044" max="12050" width="9.140625" style="521" customWidth="1"/>
    <col min="12051" max="12051" width="2.42578125" style="521" customWidth="1"/>
    <col min="12052" max="12052" width="2.5703125" style="521" customWidth="1"/>
    <col min="12053" max="12053" width="11.42578125" style="521" customWidth="1"/>
    <col min="12054" max="12288" width="0" style="521" hidden="1"/>
    <col min="12289" max="12289" width="12.85546875" style="521" customWidth="1"/>
    <col min="12290" max="12290" width="18" style="521" bestFit="1" customWidth="1"/>
    <col min="12291" max="12291" width="15.7109375" style="521" customWidth="1"/>
    <col min="12292" max="12292" width="9.140625" style="521" customWidth="1"/>
    <col min="12293" max="12293" width="10" style="521" bestFit="1" customWidth="1"/>
    <col min="12294" max="12296" width="9.140625" style="521" customWidth="1"/>
    <col min="12297" max="12297" width="2.140625" style="521" customWidth="1"/>
    <col min="12298" max="12298" width="5.85546875" style="521" bestFit="1" customWidth="1"/>
    <col min="12299" max="12299" width="10.85546875" style="521" customWidth="1"/>
    <col min="12300" max="12306" width="9.140625" style="521" customWidth="1"/>
    <col min="12307" max="12307" width="2.42578125" style="521" customWidth="1"/>
    <col min="12308" max="12308" width="2.5703125" style="521" customWidth="1"/>
    <col min="12309" max="12309" width="11.42578125" style="521" customWidth="1"/>
    <col min="12310" max="12544" width="0" style="521" hidden="1"/>
    <col min="12545" max="12545" width="12.85546875" style="521" customWidth="1"/>
    <col min="12546" max="12546" width="18" style="521" bestFit="1" customWidth="1"/>
    <col min="12547" max="12547" width="15.7109375" style="521" customWidth="1"/>
    <col min="12548" max="12548" width="9.140625" style="521" customWidth="1"/>
    <col min="12549" max="12549" width="10" style="521" bestFit="1" customWidth="1"/>
    <col min="12550" max="12552" width="9.140625" style="521" customWidth="1"/>
    <col min="12553" max="12553" width="2.140625" style="521" customWidth="1"/>
    <col min="12554" max="12554" width="5.85546875" style="521" bestFit="1" customWidth="1"/>
    <col min="12555" max="12555" width="10.85546875" style="521" customWidth="1"/>
    <col min="12556" max="12562" width="9.140625" style="521" customWidth="1"/>
    <col min="12563" max="12563" width="2.42578125" style="521" customWidth="1"/>
    <col min="12564" max="12564" width="2.5703125" style="521" customWidth="1"/>
    <col min="12565" max="12565" width="11.42578125" style="521" customWidth="1"/>
    <col min="12566" max="12800" width="0" style="521" hidden="1"/>
    <col min="12801" max="12801" width="12.85546875" style="521" customWidth="1"/>
    <col min="12802" max="12802" width="18" style="521" bestFit="1" customWidth="1"/>
    <col min="12803" max="12803" width="15.7109375" style="521" customWidth="1"/>
    <col min="12804" max="12804" width="9.140625" style="521" customWidth="1"/>
    <col min="12805" max="12805" width="10" style="521" bestFit="1" customWidth="1"/>
    <col min="12806" max="12808" width="9.140625" style="521" customWidth="1"/>
    <col min="12809" max="12809" width="2.140625" style="521" customWidth="1"/>
    <col min="12810" max="12810" width="5.85546875" style="521" bestFit="1" customWidth="1"/>
    <col min="12811" max="12811" width="10.85546875" style="521" customWidth="1"/>
    <col min="12812" max="12818" width="9.140625" style="521" customWidth="1"/>
    <col min="12819" max="12819" width="2.42578125" style="521" customWidth="1"/>
    <col min="12820" max="12820" width="2.5703125" style="521" customWidth="1"/>
    <col min="12821" max="12821" width="11.42578125" style="521" customWidth="1"/>
    <col min="12822" max="13056" width="0" style="521" hidden="1"/>
    <col min="13057" max="13057" width="12.85546875" style="521" customWidth="1"/>
    <col min="13058" max="13058" width="18" style="521" bestFit="1" customWidth="1"/>
    <col min="13059" max="13059" width="15.7109375" style="521" customWidth="1"/>
    <col min="13060" max="13060" width="9.140625" style="521" customWidth="1"/>
    <col min="13061" max="13061" width="10" style="521" bestFit="1" customWidth="1"/>
    <col min="13062" max="13064" width="9.140625" style="521" customWidth="1"/>
    <col min="13065" max="13065" width="2.140625" style="521" customWidth="1"/>
    <col min="13066" max="13066" width="5.85546875" style="521" bestFit="1" customWidth="1"/>
    <col min="13067" max="13067" width="10.85546875" style="521" customWidth="1"/>
    <col min="13068" max="13074" width="9.140625" style="521" customWidth="1"/>
    <col min="13075" max="13075" width="2.42578125" style="521" customWidth="1"/>
    <col min="13076" max="13076" width="2.5703125" style="521" customWidth="1"/>
    <col min="13077" max="13077" width="11.42578125" style="521" customWidth="1"/>
    <col min="13078" max="13312" width="0" style="521" hidden="1"/>
    <col min="13313" max="13313" width="12.85546875" style="521" customWidth="1"/>
    <col min="13314" max="13314" width="18" style="521" bestFit="1" customWidth="1"/>
    <col min="13315" max="13315" width="15.7109375" style="521" customWidth="1"/>
    <col min="13316" max="13316" width="9.140625" style="521" customWidth="1"/>
    <col min="13317" max="13317" width="10" style="521" bestFit="1" customWidth="1"/>
    <col min="13318" max="13320" width="9.140625" style="521" customWidth="1"/>
    <col min="13321" max="13321" width="2.140625" style="521" customWidth="1"/>
    <col min="13322" max="13322" width="5.85546875" style="521" bestFit="1" customWidth="1"/>
    <col min="13323" max="13323" width="10.85546875" style="521" customWidth="1"/>
    <col min="13324" max="13330" width="9.140625" style="521" customWidth="1"/>
    <col min="13331" max="13331" width="2.42578125" style="521" customWidth="1"/>
    <col min="13332" max="13332" width="2.5703125" style="521" customWidth="1"/>
    <col min="13333" max="13333" width="11.42578125" style="521" customWidth="1"/>
    <col min="13334" max="13568" width="0" style="521" hidden="1"/>
    <col min="13569" max="13569" width="12.85546875" style="521" customWidth="1"/>
    <col min="13570" max="13570" width="18" style="521" bestFit="1" customWidth="1"/>
    <col min="13571" max="13571" width="15.7109375" style="521" customWidth="1"/>
    <col min="13572" max="13572" width="9.140625" style="521" customWidth="1"/>
    <col min="13573" max="13573" width="10" style="521" bestFit="1" customWidth="1"/>
    <col min="13574" max="13576" width="9.140625" style="521" customWidth="1"/>
    <col min="13577" max="13577" width="2.140625" style="521" customWidth="1"/>
    <col min="13578" max="13578" width="5.85546875" style="521" bestFit="1" customWidth="1"/>
    <col min="13579" max="13579" width="10.85546875" style="521" customWidth="1"/>
    <col min="13580" max="13586" width="9.140625" style="521" customWidth="1"/>
    <col min="13587" max="13587" width="2.42578125" style="521" customWidth="1"/>
    <col min="13588" max="13588" width="2.5703125" style="521" customWidth="1"/>
    <col min="13589" max="13589" width="11.42578125" style="521" customWidth="1"/>
    <col min="13590" max="13824" width="0" style="521" hidden="1"/>
    <col min="13825" max="13825" width="12.85546875" style="521" customWidth="1"/>
    <col min="13826" max="13826" width="18" style="521" bestFit="1" customWidth="1"/>
    <col min="13827" max="13827" width="15.7109375" style="521" customWidth="1"/>
    <col min="13828" max="13828" width="9.140625" style="521" customWidth="1"/>
    <col min="13829" max="13829" width="10" style="521" bestFit="1" customWidth="1"/>
    <col min="13830" max="13832" width="9.140625" style="521" customWidth="1"/>
    <col min="13833" max="13833" width="2.140625" style="521" customWidth="1"/>
    <col min="13834" max="13834" width="5.85546875" style="521" bestFit="1" customWidth="1"/>
    <col min="13835" max="13835" width="10.85546875" style="521" customWidth="1"/>
    <col min="13836" max="13842" width="9.140625" style="521" customWidth="1"/>
    <col min="13843" max="13843" width="2.42578125" style="521" customWidth="1"/>
    <col min="13844" max="13844" width="2.5703125" style="521" customWidth="1"/>
    <col min="13845" max="13845" width="11.42578125" style="521" customWidth="1"/>
    <col min="13846" max="14080" width="0" style="521" hidden="1"/>
    <col min="14081" max="14081" width="12.85546875" style="521" customWidth="1"/>
    <col min="14082" max="14082" width="18" style="521" bestFit="1" customWidth="1"/>
    <col min="14083" max="14083" width="15.7109375" style="521" customWidth="1"/>
    <col min="14084" max="14084" width="9.140625" style="521" customWidth="1"/>
    <col min="14085" max="14085" width="10" style="521" bestFit="1" customWidth="1"/>
    <col min="14086" max="14088" width="9.140625" style="521" customWidth="1"/>
    <col min="14089" max="14089" width="2.140625" style="521" customWidth="1"/>
    <col min="14090" max="14090" width="5.85546875" style="521" bestFit="1" customWidth="1"/>
    <col min="14091" max="14091" width="10.85546875" style="521" customWidth="1"/>
    <col min="14092" max="14098" width="9.140625" style="521" customWidth="1"/>
    <col min="14099" max="14099" width="2.42578125" style="521" customWidth="1"/>
    <col min="14100" max="14100" width="2.5703125" style="521" customWidth="1"/>
    <col min="14101" max="14101" width="11.42578125" style="521" customWidth="1"/>
    <col min="14102" max="14336" width="0" style="521" hidden="1"/>
    <col min="14337" max="14337" width="12.85546875" style="521" customWidth="1"/>
    <col min="14338" max="14338" width="18" style="521" bestFit="1" customWidth="1"/>
    <col min="14339" max="14339" width="15.7109375" style="521" customWidth="1"/>
    <col min="14340" max="14340" width="9.140625" style="521" customWidth="1"/>
    <col min="14341" max="14341" width="10" style="521" bestFit="1" customWidth="1"/>
    <col min="14342" max="14344" width="9.140625" style="521" customWidth="1"/>
    <col min="14345" max="14345" width="2.140625" style="521" customWidth="1"/>
    <col min="14346" max="14346" width="5.85546875" style="521" bestFit="1" customWidth="1"/>
    <col min="14347" max="14347" width="10.85546875" style="521" customWidth="1"/>
    <col min="14348" max="14354" width="9.140625" style="521" customWidth="1"/>
    <col min="14355" max="14355" width="2.42578125" style="521" customWidth="1"/>
    <col min="14356" max="14356" width="2.5703125" style="521" customWidth="1"/>
    <col min="14357" max="14357" width="11.42578125" style="521" customWidth="1"/>
    <col min="14358" max="14592" width="0" style="521" hidden="1"/>
    <col min="14593" max="14593" width="12.85546875" style="521" customWidth="1"/>
    <col min="14594" max="14594" width="18" style="521" bestFit="1" customWidth="1"/>
    <col min="14595" max="14595" width="15.7109375" style="521" customWidth="1"/>
    <col min="14596" max="14596" width="9.140625" style="521" customWidth="1"/>
    <col min="14597" max="14597" width="10" style="521" bestFit="1" customWidth="1"/>
    <col min="14598" max="14600" width="9.140625" style="521" customWidth="1"/>
    <col min="14601" max="14601" width="2.140625" style="521" customWidth="1"/>
    <col min="14602" max="14602" width="5.85546875" style="521" bestFit="1" customWidth="1"/>
    <col min="14603" max="14603" width="10.85546875" style="521" customWidth="1"/>
    <col min="14604" max="14610" width="9.140625" style="521" customWidth="1"/>
    <col min="14611" max="14611" width="2.42578125" style="521" customWidth="1"/>
    <col min="14612" max="14612" width="2.5703125" style="521" customWidth="1"/>
    <col min="14613" max="14613" width="11.42578125" style="521" customWidth="1"/>
    <col min="14614" max="14848" width="0" style="521" hidden="1"/>
    <col min="14849" max="14849" width="12.85546875" style="521" customWidth="1"/>
    <col min="14850" max="14850" width="18" style="521" bestFit="1" customWidth="1"/>
    <col min="14851" max="14851" width="15.7109375" style="521" customWidth="1"/>
    <col min="14852" max="14852" width="9.140625" style="521" customWidth="1"/>
    <col min="14853" max="14853" width="10" style="521" bestFit="1" customWidth="1"/>
    <col min="14854" max="14856" width="9.140625" style="521" customWidth="1"/>
    <col min="14857" max="14857" width="2.140625" style="521" customWidth="1"/>
    <col min="14858" max="14858" width="5.85546875" style="521" bestFit="1" customWidth="1"/>
    <col min="14859" max="14859" width="10.85546875" style="521" customWidth="1"/>
    <col min="14860" max="14866" width="9.140625" style="521" customWidth="1"/>
    <col min="14867" max="14867" width="2.42578125" style="521" customWidth="1"/>
    <col min="14868" max="14868" width="2.5703125" style="521" customWidth="1"/>
    <col min="14869" max="14869" width="11.42578125" style="521" customWidth="1"/>
    <col min="14870" max="15104" width="0" style="521" hidden="1"/>
    <col min="15105" max="15105" width="12.85546875" style="521" customWidth="1"/>
    <col min="15106" max="15106" width="18" style="521" bestFit="1" customWidth="1"/>
    <col min="15107" max="15107" width="15.7109375" style="521" customWidth="1"/>
    <col min="15108" max="15108" width="9.140625" style="521" customWidth="1"/>
    <col min="15109" max="15109" width="10" style="521" bestFit="1" customWidth="1"/>
    <col min="15110" max="15112" width="9.140625" style="521" customWidth="1"/>
    <col min="15113" max="15113" width="2.140625" style="521" customWidth="1"/>
    <col min="15114" max="15114" width="5.85546875" style="521" bestFit="1" customWidth="1"/>
    <col min="15115" max="15115" width="10.85546875" style="521" customWidth="1"/>
    <col min="15116" max="15122" width="9.140625" style="521" customWidth="1"/>
    <col min="15123" max="15123" width="2.42578125" style="521" customWidth="1"/>
    <col min="15124" max="15124" width="2.5703125" style="521" customWidth="1"/>
    <col min="15125" max="15125" width="11.42578125" style="521" customWidth="1"/>
    <col min="15126" max="15360" width="0" style="521" hidden="1"/>
    <col min="15361" max="15361" width="12.85546875" style="521" customWidth="1"/>
    <col min="15362" max="15362" width="18" style="521" bestFit="1" customWidth="1"/>
    <col min="15363" max="15363" width="15.7109375" style="521" customWidth="1"/>
    <col min="15364" max="15364" width="9.140625" style="521" customWidth="1"/>
    <col min="15365" max="15365" width="10" style="521" bestFit="1" customWidth="1"/>
    <col min="15366" max="15368" width="9.140625" style="521" customWidth="1"/>
    <col min="15369" max="15369" width="2.140625" style="521" customWidth="1"/>
    <col min="15370" max="15370" width="5.85546875" style="521" bestFit="1" customWidth="1"/>
    <col min="15371" max="15371" width="10.85546875" style="521" customWidth="1"/>
    <col min="15372" max="15378" width="9.140625" style="521" customWidth="1"/>
    <col min="15379" max="15379" width="2.42578125" style="521" customWidth="1"/>
    <col min="15380" max="15380" width="2.5703125" style="521" customWidth="1"/>
    <col min="15381" max="15381" width="11.42578125" style="521" customWidth="1"/>
    <col min="15382" max="15616" width="0" style="521" hidden="1"/>
    <col min="15617" max="15617" width="12.85546875" style="521" customWidth="1"/>
    <col min="15618" max="15618" width="18" style="521" bestFit="1" customWidth="1"/>
    <col min="15619" max="15619" width="15.7109375" style="521" customWidth="1"/>
    <col min="15620" max="15620" width="9.140625" style="521" customWidth="1"/>
    <col min="15621" max="15621" width="10" style="521" bestFit="1" customWidth="1"/>
    <col min="15622" max="15624" width="9.140625" style="521" customWidth="1"/>
    <col min="15625" max="15625" width="2.140625" style="521" customWidth="1"/>
    <col min="15626" max="15626" width="5.85546875" style="521" bestFit="1" customWidth="1"/>
    <col min="15627" max="15627" width="10.85546875" style="521" customWidth="1"/>
    <col min="15628" max="15634" width="9.140625" style="521" customWidth="1"/>
    <col min="15635" max="15635" width="2.42578125" style="521" customWidth="1"/>
    <col min="15636" max="15636" width="2.5703125" style="521" customWidth="1"/>
    <col min="15637" max="15637" width="11.42578125" style="521" customWidth="1"/>
    <col min="15638" max="15872" width="0" style="521" hidden="1"/>
    <col min="15873" max="15873" width="12.85546875" style="521" customWidth="1"/>
    <col min="15874" max="15874" width="18" style="521" bestFit="1" customWidth="1"/>
    <col min="15875" max="15875" width="15.7109375" style="521" customWidth="1"/>
    <col min="15876" max="15876" width="9.140625" style="521" customWidth="1"/>
    <col min="15877" max="15877" width="10" style="521" bestFit="1" customWidth="1"/>
    <col min="15878" max="15880" width="9.140625" style="521" customWidth="1"/>
    <col min="15881" max="15881" width="2.140625" style="521" customWidth="1"/>
    <col min="15882" max="15882" width="5.85546875" style="521" bestFit="1" customWidth="1"/>
    <col min="15883" max="15883" width="10.85546875" style="521" customWidth="1"/>
    <col min="15884" max="15890" width="9.140625" style="521" customWidth="1"/>
    <col min="15891" max="15891" width="2.42578125" style="521" customWidth="1"/>
    <col min="15892" max="15892" width="2.5703125" style="521" customWidth="1"/>
    <col min="15893" max="15893" width="11.42578125" style="521" customWidth="1"/>
    <col min="15894" max="16128" width="0" style="521" hidden="1"/>
    <col min="16129" max="16129" width="12.85546875" style="521" customWidth="1"/>
    <col min="16130" max="16130" width="18" style="521" bestFit="1" customWidth="1"/>
    <col min="16131" max="16131" width="15.7109375" style="521" customWidth="1"/>
    <col min="16132" max="16132" width="9.140625" style="521" customWidth="1"/>
    <col min="16133" max="16133" width="10" style="521" bestFit="1" customWidth="1"/>
    <col min="16134" max="16136" width="9.140625" style="521" customWidth="1"/>
    <col min="16137" max="16137" width="2.140625" style="521" customWidth="1"/>
    <col min="16138" max="16138" width="5.85546875" style="521" bestFit="1" customWidth="1"/>
    <col min="16139" max="16139" width="10.85546875" style="521" customWidth="1"/>
    <col min="16140" max="16146" width="9.140625" style="521" customWidth="1"/>
    <col min="16147" max="16147" width="2.42578125" style="521" customWidth="1"/>
    <col min="16148" max="16148" width="2.5703125" style="521" customWidth="1"/>
    <col min="16149" max="16149" width="11.42578125" style="521" customWidth="1"/>
    <col min="16150" max="16384" width="0" style="521" hidden="1"/>
  </cols>
  <sheetData>
    <row r="1" spans="1:18" ht="11.25">
      <c r="A1" s="520" t="s">
        <v>828</v>
      </c>
      <c r="J1" s="522"/>
    </row>
    <row r="2" spans="1:18" ht="12.75">
      <c r="A2" s="522"/>
      <c r="J2" s="1222" t="s">
        <v>829</v>
      </c>
      <c r="K2" s="1222"/>
      <c r="L2" s="1222"/>
      <c r="M2" s="1222"/>
      <c r="N2" s="1222"/>
      <c r="O2" s="1222"/>
      <c r="P2" s="1222"/>
      <c r="Q2" s="1222"/>
      <c r="R2" s="1222"/>
    </row>
    <row r="3" spans="1:18" ht="47.25" customHeight="1">
      <c r="A3" s="523" t="s">
        <v>830</v>
      </c>
      <c r="B3" s="524" t="s">
        <v>831</v>
      </c>
      <c r="D3" s="524" t="s">
        <v>832</v>
      </c>
      <c r="E3" s="524" t="s">
        <v>833</v>
      </c>
      <c r="F3" s="524" t="s">
        <v>834</v>
      </c>
      <c r="G3" s="524" t="s">
        <v>835</v>
      </c>
      <c r="H3" s="524" t="s">
        <v>836</v>
      </c>
      <c r="J3" s="525"/>
      <c r="K3" s="525"/>
      <c r="L3" s="525"/>
      <c r="M3" s="525"/>
      <c r="N3" s="525"/>
      <c r="O3" s="525"/>
      <c r="P3" s="525"/>
      <c r="Q3" s="525"/>
      <c r="R3" s="525"/>
    </row>
    <row r="4" spans="1:18" ht="11.25">
      <c r="A4" s="526" t="s">
        <v>832</v>
      </c>
      <c r="B4" s="527">
        <v>1</v>
      </c>
      <c r="C4" s="521" t="s">
        <v>837</v>
      </c>
      <c r="D4" s="528">
        <f>B4/$B$4</f>
        <v>1</v>
      </c>
      <c r="E4" s="529">
        <f>B4/$B$5</f>
        <v>0.98039215686274506</v>
      </c>
      <c r="F4" s="529">
        <f>B4/$B$6</f>
        <v>0.95238095238095233</v>
      </c>
      <c r="G4" s="529">
        <f>B4/$B$7</f>
        <v>0.92592592592592582</v>
      </c>
      <c r="H4" s="529">
        <f>B4/$B$8</f>
        <v>0.90909090909090906</v>
      </c>
      <c r="K4" s="530" t="s">
        <v>838</v>
      </c>
      <c r="L4" s="525"/>
    </row>
    <row r="5" spans="1:18" ht="11.25">
      <c r="A5" s="526" t="s">
        <v>833</v>
      </c>
      <c r="B5" s="531">
        <v>1.02</v>
      </c>
      <c r="C5" s="521" t="s">
        <v>839</v>
      </c>
      <c r="D5" s="529">
        <f>B5/$B$4</f>
        <v>1.02</v>
      </c>
      <c r="E5" s="528">
        <f>B5/$B$5</f>
        <v>1</v>
      </c>
      <c r="F5" s="529">
        <f>B5/$B$6</f>
        <v>0.97142857142857142</v>
      </c>
      <c r="G5" s="529">
        <f>B5/$B$7</f>
        <v>0.94444444444444442</v>
      </c>
      <c r="H5" s="529">
        <f>B5/$B$8</f>
        <v>0.92727272727272725</v>
      </c>
      <c r="K5" s="532">
        <v>1</v>
      </c>
      <c r="L5" s="525" t="s">
        <v>209</v>
      </c>
      <c r="M5" s="521" t="s">
        <v>229</v>
      </c>
    </row>
    <row r="6" spans="1:18" ht="11.25">
      <c r="A6" s="526" t="s">
        <v>834</v>
      </c>
      <c r="B6" s="531">
        <v>1.05</v>
      </c>
      <c r="C6" s="521" t="s">
        <v>840</v>
      </c>
      <c r="D6" s="529">
        <f>B6/$B$4</f>
        <v>1.05</v>
      </c>
      <c r="E6" s="529">
        <f>B6/$B$5</f>
        <v>1.0294117647058825</v>
      </c>
      <c r="F6" s="528">
        <f>B6/$B$6</f>
        <v>1</v>
      </c>
      <c r="G6" s="529">
        <f>B6/$B$7</f>
        <v>0.97222222222222221</v>
      </c>
      <c r="H6" s="529">
        <f>B6/$B$8</f>
        <v>0.95454545454545447</v>
      </c>
      <c r="K6" s="532">
        <v>1.5</v>
      </c>
      <c r="L6" s="525" t="s">
        <v>210</v>
      </c>
      <c r="M6" s="521" t="s">
        <v>230</v>
      </c>
    </row>
    <row r="7" spans="1:18" ht="11.25">
      <c r="A7" s="526" t="s">
        <v>835</v>
      </c>
      <c r="B7" s="531">
        <v>1.08</v>
      </c>
      <c r="C7" s="521" t="s">
        <v>841</v>
      </c>
      <c r="D7" s="529">
        <f>B7/$B$4</f>
        <v>1.08</v>
      </c>
      <c r="E7" s="529">
        <f>B7/$B$5</f>
        <v>1.0588235294117647</v>
      </c>
      <c r="F7" s="529">
        <f>B7/$B$6</f>
        <v>1.0285714285714287</v>
      </c>
      <c r="G7" s="528">
        <f>B7/$B$7</f>
        <v>1</v>
      </c>
      <c r="H7" s="529">
        <f>B7/$B$8</f>
        <v>0.98181818181818181</v>
      </c>
      <c r="K7" s="532">
        <v>2</v>
      </c>
      <c r="L7" s="525" t="s">
        <v>211</v>
      </c>
      <c r="M7" s="521" t="s">
        <v>231</v>
      </c>
    </row>
    <row r="8" spans="1:18" ht="11.25">
      <c r="A8" s="526" t="s">
        <v>836</v>
      </c>
      <c r="B8" s="527">
        <v>1.1000000000000001</v>
      </c>
      <c r="C8" s="533" t="s">
        <v>842</v>
      </c>
      <c r="D8" s="529">
        <f>B8/$B$4</f>
        <v>1.1000000000000001</v>
      </c>
      <c r="E8" s="529">
        <f>B8/$B$5</f>
        <v>1.0784313725490198</v>
      </c>
      <c r="F8" s="529">
        <f>B8/$B$6</f>
        <v>1.0476190476190477</v>
      </c>
      <c r="G8" s="529">
        <f>B8/$B$7</f>
        <v>1.0185185185185186</v>
      </c>
      <c r="H8" s="528">
        <f>B8/$B$8</f>
        <v>1</v>
      </c>
      <c r="K8" s="532">
        <v>2.5</v>
      </c>
      <c r="L8" s="525" t="s">
        <v>212</v>
      </c>
      <c r="M8" s="521" t="s">
        <v>843</v>
      </c>
    </row>
    <row r="9" spans="1:18" ht="11.25">
      <c r="A9" s="534" t="s">
        <v>844</v>
      </c>
      <c r="K9" s="532">
        <v>3</v>
      </c>
      <c r="L9" s="525" t="s">
        <v>213</v>
      </c>
      <c r="M9" s="521" t="s">
        <v>233</v>
      </c>
    </row>
    <row r="10" spans="1:18" ht="11.25">
      <c r="K10" s="532">
        <v>3.5</v>
      </c>
      <c r="L10" s="525" t="s">
        <v>214</v>
      </c>
      <c r="M10" s="521" t="s">
        <v>845</v>
      </c>
    </row>
    <row r="11" spans="1:18" ht="11.25">
      <c r="K11" s="532">
        <v>4</v>
      </c>
      <c r="L11" s="525" t="s">
        <v>215</v>
      </c>
      <c r="M11" s="521" t="s">
        <v>846</v>
      </c>
    </row>
    <row r="12" spans="1:18" ht="11.25">
      <c r="K12" s="532">
        <v>4.5</v>
      </c>
      <c r="L12" s="525" t="s">
        <v>216</v>
      </c>
      <c r="M12" s="521" t="s">
        <v>847</v>
      </c>
    </row>
    <row r="13" spans="1:18" ht="11.25">
      <c r="K13" s="532">
        <v>5</v>
      </c>
      <c r="L13" s="525" t="s">
        <v>237</v>
      </c>
      <c r="M13" s="521" t="s">
        <v>238</v>
      </c>
    </row>
    <row r="14" spans="1:18" ht="11.25"/>
    <row r="15" spans="1:18" ht="11.25" customHeight="1"/>
    <row r="16" spans="1:18" ht="11.25">
      <c r="A16" s="522"/>
    </row>
    <row r="17" spans="2:18" ht="23.25" customHeight="1">
      <c r="B17" s="1223" t="s">
        <v>848</v>
      </c>
      <c r="C17" s="1223"/>
      <c r="E17" s="1223" t="s">
        <v>849</v>
      </c>
      <c r="F17" s="1223"/>
    </row>
    <row r="18" spans="2:18" ht="11.25">
      <c r="B18" s="535" t="s">
        <v>850</v>
      </c>
      <c r="C18" s="530" t="s">
        <v>851</v>
      </c>
      <c r="E18" s="535" t="s">
        <v>852</v>
      </c>
      <c r="F18" s="530" t="s">
        <v>851</v>
      </c>
      <c r="J18" s="530" t="s">
        <v>853</v>
      </c>
      <c r="K18" s="532" t="s">
        <v>209</v>
      </c>
      <c r="L18" s="532" t="s">
        <v>210</v>
      </c>
      <c r="M18" s="532" t="s">
        <v>211</v>
      </c>
      <c r="N18" s="532" t="s">
        <v>212</v>
      </c>
      <c r="O18" s="532" t="s">
        <v>213</v>
      </c>
      <c r="P18" s="532" t="s">
        <v>214</v>
      </c>
      <c r="Q18" s="532" t="s">
        <v>215</v>
      </c>
      <c r="R18" s="532" t="s">
        <v>216</v>
      </c>
    </row>
    <row r="19" spans="2:18" ht="11.25">
      <c r="B19" s="536" t="s">
        <v>174</v>
      </c>
      <c r="C19" s="537">
        <v>98</v>
      </c>
      <c r="E19" s="538">
        <v>1</v>
      </c>
      <c r="F19" s="538">
        <v>0.97499999999999998</v>
      </c>
      <c r="J19" s="530">
        <v>2</v>
      </c>
      <c r="K19" s="525">
        <v>1.02</v>
      </c>
      <c r="L19" s="525">
        <v>1.05</v>
      </c>
      <c r="M19" s="525">
        <v>3.51</v>
      </c>
      <c r="N19" s="525">
        <v>9.0299999999999994</v>
      </c>
      <c r="O19" s="525">
        <v>18.899999999999999</v>
      </c>
      <c r="P19" s="525">
        <v>33.9</v>
      </c>
      <c r="Q19" s="525">
        <v>53.1</v>
      </c>
      <c r="R19" s="525">
        <v>75.400000000000006</v>
      </c>
    </row>
    <row r="20" spans="2:18" ht="11.25">
      <c r="B20" s="539" t="s">
        <v>854</v>
      </c>
      <c r="C20" s="540">
        <v>100</v>
      </c>
      <c r="E20" s="539">
        <v>2</v>
      </c>
      <c r="F20" s="539">
        <v>0.95099999999999996</v>
      </c>
      <c r="J20" s="530">
        <v>3</v>
      </c>
      <c r="K20" s="525">
        <f t="shared" ref="K20:R20" si="0">(K21+K19)/2</f>
        <v>1.55</v>
      </c>
      <c r="L20" s="525">
        <f t="shared" si="0"/>
        <v>1.58</v>
      </c>
      <c r="M20" s="525">
        <f t="shared" si="0"/>
        <v>4.0299999999999994</v>
      </c>
      <c r="N20" s="525">
        <f t="shared" si="0"/>
        <v>9.5150000000000006</v>
      </c>
      <c r="O20" s="525">
        <f t="shared" si="0"/>
        <v>19.350000000000001</v>
      </c>
      <c r="P20" s="525">
        <f t="shared" si="0"/>
        <v>34.25</v>
      </c>
      <c r="Q20" s="525">
        <f t="shared" si="0"/>
        <v>53.35</v>
      </c>
      <c r="R20" s="525">
        <f t="shared" si="0"/>
        <v>75.550000000000011</v>
      </c>
    </row>
    <row r="21" spans="2:18" ht="11.25">
      <c r="B21" s="538" t="s">
        <v>855</v>
      </c>
      <c r="C21" s="537">
        <v>104</v>
      </c>
      <c r="E21" s="538">
        <v>3</v>
      </c>
      <c r="F21" s="538">
        <v>0.92700000000000005</v>
      </c>
      <c r="J21" s="530">
        <v>4</v>
      </c>
      <c r="K21" s="525">
        <v>2.08</v>
      </c>
      <c r="L21" s="525">
        <v>2.11</v>
      </c>
      <c r="M21" s="525">
        <v>4.55</v>
      </c>
      <c r="N21" s="525">
        <v>10</v>
      </c>
      <c r="O21" s="525">
        <v>19.8</v>
      </c>
      <c r="P21" s="525">
        <v>34.6</v>
      </c>
      <c r="Q21" s="525">
        <v>53.6</v>
      </c>
      <c r="R21" s="525">
        <v>75.7</v>
      </c>
    </row>
    <row r="22" spans="2:18" ht="11.25">
      <c r="B22" s="539" t="s">
        <v>856</v>
      </c>
      <c r="C22" s="540">
        <v>106</v>
      </c>
      <c r="E22" s="539">
        <v>4</v>
      </c>
      <c r="F22" s="539">
        <v>0.90300000000000002</v>
      </c>
      <c r="J22" s="530">
        <v>5</v>
      </c>
      <c r="K22" s="525">
        <f t="shared" ref="K22:R22" si="1">(K23+K21)/2</f>
        <v>2.63</v>
      </c>
      <c r="L22" s="525">
        <f t="shared" si="1"/>
        <v>2.66</v>
      </c>
      <c r="M22" s="525">
        <f t="shared" si="1"/>
        <v>5.085</v>
      </c>
      <c r="N22" s="525">
        <f t="shared" si="1"/>
        <v>10.5</v>
      </c>
      <c r="O22" s="525">
        <f t="shared" si="1"/>
        <v>20.25</v>
      </c>
      <c r="P22" s="525">
        <f t="shared" si="1"/>
        <v>34.950000000000003</v>
      </c>
      <c r="Q22" s="525">
        <f t="shared" si="1"/>
        <v>53.85</v>
      </c>
      <c r="R22" s="525">
        <f t="shared" si="1"/>
        <v>75.849999999999994</v>
      </c>
    </row>
    <row r="23" spans="2:18" ht="11.25">
      <c r="B23" s="538" t="s">
        <v>857</v>
      </c>
      <c r="C23" s="537">
        <v>108</v>
      </c>
      <c r="E23" s="538">
        <v>5</v>
      </c>
      <c r="F23" s="538">
        <v>0.88100000000000001</v>
      </c>
      <c r="J23" s="530">
        <v>6</v>
      </c>
      <c r="K23" s="525">
        <v>3.18</v>
      </c>
      <c r="L23" s="525">
        <v>3.21</v>
      </c>
      <c r="M23" s="525">
        <v>5.62</v>
      </c>
      <c r="N23" s="525">
        <v>11</v>
      </c>
      <c r="O23" s="525">
        <v>20.7</v>
      </c>
      <c r="P23" s="525">
        <v>35.299999999999997</v>
      </c>
      <c r="Q23" s="525">
        <v>54.1</v>
      </c>
      <c r="R23" s="525">
        <v>76</v>
      </c>
    </row>
    <row r="24" spans="2:18" ht="11.25">
      <c r="B24" s="539" t="s">
        <v>858</v>
      </c>
      <c r="C24" s="540">
        <v>109</v>
      </c>
      <c r="E24" s="539">
        <v>6</v>
      </c>
      <c r="F24" s="539">
        <v>0.85599999999999998</v>
      </c>
      <c r="J24" s="530">
        <v>7</v>
      </c>
      <c r="K24" s="525">
        <f t="shared" ref="K24:R24" si="2">(K25+K23)/2</f>
        <v>3.75</v>
      </c>
      <c r="L24" s="525">
        <f t="shared" si="2"/>
        <v>3.78</v>
      </c>
      <c r="M24" s="525">
        <f t="shared" si="2"/>
        <v>6.1750000000000007</v>
      </c>
      <c r="N24" s="525">
        <f t="shared" si="2"/>
        <v>11.55</v>
      </c>
      <c r="O24" s="525">
        <f t="shared" si="2"/>
        <v>21.15</v>
      </c>
      <c r="P24" s="525">
        <f t="shared" si="2"/>
        <v>35.700000000000003</v>
      </c>
      <c r="Q24" s="525">
        <f t="shared" si="2"/>
        <v>54.35</v>
      </c>
      <c r="R24" s="525">
        <f t="shared" si="2"/>
        <v>76.150000000000006</v>
      </c>
    </row>
    <row r="25" spans="2:18" ht="11.25">
      <c r="B25" s="538" t="s">
        <v>859</v>
      </c>
      <c r="C25" s="537">
        <v>110</v>
      </c>
      <c r="E25" s="538">
        <v>7</v>
      </c>
      <c r="F25" s="538">
        <v>0.83399999999999996</v>
      </c>
      <c r="J25" s="530">
        <v>8</v>
      </c>
      <c r="K25" s="525">
        <v>4.32</v>
      </c>
      <c r="L25" s="525">
        <v>4.3499999999999996</v>
      </c>
      <c r="M25" s="525">
        <v>6.73</v>
      </c>
      <c r="N25" s="525">
        <v>12.1</v>
      </c>
      <c r="O25" s="525">
        <v>21.6</v>
      </c>
      <c r="P25" s="525">
        <v>36.1</v>
      </c>
      <c r="Q25" s="525">
        <v>54.6</v>
      </c>
      <c r="R25" s="525">
        <v>76.3</v>
      </c>
    </row>
    <row r="26" spans="2:18" ht="12" customHeight="1">
      <c r="B26" s="539" t="s">
        <v>860</v>
      </c>
      <c r="C26" s="540">
        <v>111</v>
      </c>
      <c r="E26" s="539">
        <v>8</v>
      </c>
      <c r="F26" s="539">
        <v>0.81599999999999995</v>
      </c>
      <c r="J26" s="530">
        <v>9</v>
      </c>
      <c r="K26" s="525">
        <f t="shared" ref="K26:R26" si="3">(K27+K25)/2</f>
        <v>4.91</v>
      </c>
      <c r="L26" s="525">
        <f t="shared" si="3"/>
        <v>4.9399999999999995</v>
      </c>
      <c r="M26" s="525">
        <f t="shared" si="3"/>
        <v>7.3049999999999997</v>
      </c>
      <c r="N26" s="525">
        <f t="shared" si="3"/>
        <v>12.649999999999999</v>
      </c>
      <c r="O26" s="525">
        <f t="shared" si="3"/>
        <v>22.1</v>
      </c>
      <c r="P26" s="525">
        <f t="shared" si="3"/>
        <v>36.5</v>
      </c>
      <c r="Q26" s="525">
        <f t="shared" si="3"/>
        <v>54.900000000000006</v>
      </c>
      <c r="R26" s="525">
        <f t="shared" si="3"/>
        <v>76.449999999999989</v>
      </c>
    </row>
    <row r="27" spans="2:18" ht="11.25">
      <c r="B27" s="538" t="s">
        <v>861</v>
      </c>
      <c r="C27" s="537">
        <v>112</v>
      </c>
      <c r="E27" s="538">
        <v>9</v>
      </c>
      <c r="F27" s="538">
        <v>0.79600000000000004</v>
      </c>
      <c r="J27" s="530">
        <v>10</v>
      </c>
      <c r="K27" s="525">
        <v>5.5</v>
      </c>
      <c r="L27" s="525">
        <v>5.53</v>
      </c>
      <c r="M27" s="525">
        <v>7.88</v>
      </c>
      <c r="N27" s="525">
        <v>13.2</v>
      </c>
      <c r="O27" s="525">
        <v>22.6</v>
      </c>
      <c r="P27" s="525">
        <v>36.9</v>
      </c>
      <c r="Q27" s="525">
        <v>55.2</v>
      </c>
      <c r="R27" s="525">
        <v>76.599999999999994</v>
      </c>
    </row>
    <row r="28" spans="2:18" ht="11.25">
      <c r="B28" s="539" t="s">
        <v>862</v>
      </c>
      <c r="C28" s="540">
        <v>112.5</v>
      </c>
      <c r="E28" s="539">
        <v>10</v>
      </c>
      <c r="F28" s="539">
        <v>0.77600000000000002</v>
      </c>
      <c r="J28" s="530">
        <v>11</v>
      </c>
      <c r="K28" s="525">
        <f t="shared" ref="K28:R28" si="4">(K29+K27)/2</f>
        <v>6.1099999999999994</v>
      </c>
      <c r="L28" s="525">
        <f t="shared" si="4"/>
        <v>6.1400000000000006</v>
      </c>
      <c r="M28" s="525">
        <f t="shared" si="4"/>
        <v>8.4749999999999996</v>
      </c>
      <c r="N28" s="525">
        <f t="shared" si="4"/>
        <v>13.614999999999998</v>
      </c>
      <c r="O28" s="525">
        <f t="shared" si="4"/>
        <v>23.1</v>
      </c>
      <c r="P28" s="525">
        <f t="shared" si="4"/>
        <v>37.299999999999997</v>
      </c>
      <c r="Q28" s="525">
        <f t="shared" si="4"/>
        <v>55.5</v>
      </c>
      <c r="R28" s="525">
        <f t="shared" si="4"/>
        <v>76.75</v>
      </c>
    </row>
    <row r="29" spans="2:18" ht="11.25">
      <c r="B29" s="538" t="s">
        <v>863</v>
      </c>
      <c r="C29" s="537">
        <v>113</v>
      </c>
      <c r="E29" s="538">
        <v>15</v>
      </c>
      <c r="F29" s="538">
        <v>0.68300000000000005</v>
      </c>
      <c r="J29" s="530">
        <v>12</v>
      </c>
      <c r="K29" s="525">
        <v>6.72</v>
      </c>
      <c r="L29" s="525">
        <v>6.75</v>
      </c>
      <c r="M29" s="525">
        <v>9.07</v>
      </c>
      <c r="N29" s="525">
        <v>14.03</v>
      </c>
      <c r="O29" s="525">
        <v>23.6</v>
      </c>
      <c r="P29" s="525">
        <v>37.700000000000003</v>
      </c>
      <c r="Q29" s="525">
        <v>55.8</v>
      </c>
      <c r="R29" s="525">
        <v>76.900000000000006</v>
      </c>
    </row>
    <row r="30" spans="2:18" ht="11.25">
      <c r="B30" s="539" t="s">
        <v>864</v>
      </c>
      <c r="C30" s="540">
        <v>113.5</v>
      </c>
      <c r="E30" s="539">
        <v>20</v>
      </c>
      <c r="F30" s="539">
        <v>0.60199999999999998</v>
      </c>
      <c r="J30" s="530">
        <v>13</v>
      </c>
      <c r="K30" s="525">
        <f t="shared" ref="K30:R30" si="5">(K31+K29)/2</f>
        <v>7.35</v>
      </c>
      <c r="L30" s="525">
        <f t="shared" si="5"/>
        <v>7.38</v>
      </c>
      <c r="M30" s="525">
        <f t="shared" si="5"/>
        <v>9.6850000000000005</v>
      </c>
      <c r="N30" s="525">
        <f t="shared" si="5"/>
        <v>14.715</v>
      </c>
      <c r="O30" s="525">
        <f t="shared" si="5"/>
        <v>24.1</v>
      </c>
      <c r="P30" s="525">
        <f t="shared" si="5"/>
        <v>38.1</v>
      </c>
      <c r="Q30" s="525">
        <f t="shared" si="5"/>
        <v>56.099999999999994</v>
      </c>
      <c r="R30" s="525">
        <f t="shared" si="5"/>
        <v>77.050000000000011</v>
      </c>
    </row>
    <row r="31" spans="2:18" ht="11.25">
      <c r="B31" s="538" t="s">
        <v>865</v>
      </c>
      <c r="C31" s="537">
        <v>114</v>
      </c>
      <c r="E31" s="538">
        <v>25</v>
      </c>
      <c r="F31" s="541">
        <v>0.53</v>
      </c>
      <c r="J31" s="530">
        <v>14</v>
      </c>
      <c r="K31" s="525">
        <v>7.98</v>
      </c>
      <c r="L31" s="525">
        <v>8.01</v>
      </c>
      <c r="M31" s="525">
        <v>10.3</v>
      </c>
      <c r="N31" s="525">
        <v>15.4</v>
      </c>
      <c r="O31" s="525">
        <v>24.6</v>
      </c>
      <c r="P31" s="525">
        <v>38.5</v>
      </c>
      <c r="Q31" s="525">
        <v>56.4</v>
      </c>
      <c r="R31" s="525">
        <v>77.2</v>
      </c>
    </row>
    <row r="32" spans="2:18" ht="11.25">
      <c r="B32" s="539" t="s">
        <v>866</v>
      </c>
      <c r="C32" s="540">
        <v>114.5</v>
      </c>
      <c r="E32" s="539">
        <v>30</v>
      </c>
      <c r="F32" s="539">
        <v>0.46700000000000003</v>
      </c>
      <c r="J32" s="530">
        <v>15</v>
      </c>
      <c r="K32" s="525">
        <f t="shared" ref="K32:R32" si="6">(K33+K31)/2</f>
        <v>8.629999999999999</v>
      </c>
      <c r="L32" s="525">
        <f t="shared" si="6"/>
        <v>8.66</v>
      </c>
      <c r="M32" s="525">
        <f t="shared" si="6"/>
        <v>10.95</v>
      </c>
      <c r="N32" s="525">
        <f t="shared" si="6"/>
        <v>16</v>
      </c>
      <c r="O32" s="525">
        <f t="shared" si="6"/>
        <v>25.15</v>
      </c>
      <c r="P32" s="525">
        <f t="shared" si="6"/>
        <v>38.950000000000003</v>
      </c>
      <c r="Q32" s="525">
        <f t="shared" si="6"/>
        <v>56.7</v>
      </c>
      <c r="R32" s="525">
        <f t="shared" si="6"/>
        <v>77.349999999999994</v>
      </c>
    </row>
    <row r="33" spans="1:18" ht="11.25">
      <c r="B33" s="538" t="s">
        <v>867</v>
      </c>
      <c r="C33" s="537">
        <v>115</v>
      </c>
      <c r="E33" s="538">
        <v>35</v>
      </c>
      <c r="F33" s="538">
        <v>0.38900000000000001</v>
      </c>
      <c r="J33" s="530">
        <v>16</v>
      </c>
      <c r="K33" s="525">
        <v>9.2799999999999994</v>
      </c>
      <c r="L33" s="525">
        <v>9.31</v>
      </c>
      <c r="M33" s="525">
        <v>11.6</v>
      </c>
      <c r="N33" s="525">
        <v>16.600000000000001</v>
      </c>
      <c r="O33" s="525">
        <v>25.7</v>
      </c>
      <c r="P33" s="525">
        <v>39.4</v>
      </c>
      <c r="Q33" s="525">
        <v>57</v>
      </c>
      <c r="R33" s="525">
        <v>77.5</v>
      </c>
    </row>
    <row r="34" spans="1:18" ht="11.25">
      <c r="B34" s="539" t="s">
        <v>868</v>
      </c>
      <c r="C34" s="540">
        <v>115.5</v>
      </c>
      <c r="E34" s="539">
        <v>40</v>
      </c>
      <c r="F34" s="539">
        <v>0.36199999999999999</v>
      </c>
      <c r="J34" s="530">
        <v>17</v>
      </c>
      <c r="K34" s="525">
        <f t="shared" ref="K34:R34" si="7">(K35+K33)/2</f>
        <v>9.94</v>
      </c>
      <c r="L34" s="525">
        <f t="shared" si="7"/>
        <v>9.9550000000000001</v>
      </c>
      <c r="M34" s="525">
        <f t="shared" si="7"/>
        <v>12.25</v>
      </c>
      <c r="N34" s="525">
        <f t="shared" si="7"/>
        <v>17.200000000000003</v>
      </c>
      <c r="O34" s="525">
        <f t="shared" si="7"/>
        <v>26.25</v>
      </c>
      <c r="P34" s="525">
        <f t="shared" si="7"/>
        <v>39.849999999999994</v>
      </c>
      <c r="Q34" s="525">
        <f t="shared" si="7"/>
        <v>57.3</v>
      </c>
      <c r="R34" s="525">
        <f t="shared" si="7"/>
        <v>77.650000000000006</v>
      </c>
    </row>
    <row r="35" spans="1:18" ht="11.25">
      <c r="B35" s="538" t="s">
        <v>869</v>
      </c>
      <c r="C35" s="537">
        <v>116</v>
      </c>
      <c r="E35" s="538">
        <v>45</v>
      </c>
      <c r="F35" s="538">
        <v>0.31900000000000001</v>
      </c>
      <c r="J35" s="530">
        <v>18</v>
      </c>
      <c r="K35" s="525">
        <v>10.6</v>
      </c>
      <c r="L35" s="525">
        <v>10.6</v>
      </c>
      <c r="M35" s="525">
        <v>12.9</v>
      </c>
      <c r="N35" s="525">
        <v>17.8</v>
      </c>
      <c r="O35" s="525">
        <v>26.8</v>
      </c>
      <c r="P35" s="525">
        <v>40.299999999999997</v>
      </c>
      <c r="Q35" s="525">
        <v>57.6</v>
      </c>
      <c r="R35" s="525">
        <v>77.8</v>
      </c>
    </row>
    <row r="36" spans="1:18" ht="11.25">
      <c r="B36" s="539" t="s">
        <v>870</v>
      </c>
      <c r="C36" s="540">
        <v>116.5</v>
      </c>
      <c r="E36" s="539">
        <v>50</v>
      </c>
      <c r="F36" s="542">
        <v>0.28000000000000003</v>
      </c>
      <c r="J36" s="530">
        <v>19</v>
      </c>
      <c r="K36" s="525">
        <f t="shared" ref="K36:R36" si="8">(K37+K35)/2</f>
        <v>11.3</v>
      </c>
      <c r="L36" s="525">
        <f t="shared" si="8"/>
        <v>11.3</v>
      </c>
      <c r="M36" s="525">
        <f t="shared" si="8"/>
        <v>13.55</v>
      </c>
      <c r="N36" s="525">
        <f t="shared" si="8"/>
        <v>18.450000000000003</v>
      </c>
      <c r="O36" s="525">
        <f t="shared" si="8"/>
        <v>27.35</v>
      </c>
      <c r="P36" s="525">
        <f t="shared" si="8"/>
        <v>41.25</v>
      </c>
      <c r="Q36" s="525">
        <f t="shared" si="8"/>
        <v>57.95</v>
      </c>
      <c r="R36" s="525">
        <f t="shared" si="8"/>
        <v>78</v>
      </c>
    </row>
    <row r="37" spans="1:18" ht="11.25">
      <c r="B37" s="538" t="s">
        <v>871</v>
      </c>
      <c r="C37" s="537">
        <v>117</v>
      </c>
      <c r="E37" s="538">
        <v>55</v>
      </c>
      <c r="F37" s="541">
        <v>0.24</v>
      </c>
      <c r="J37" s="530">
        <v>20</v>
      </c>
      <c r="K37" s="525">
        <v>12</v>
      </c>
      <c r="L37" s="525">
        <v>12</v>
      </c>
      <c r="M37" s="525">
        <v>14.2</v>
      </c>
      <c r="N37" s="525">
        <v>19.100000000000001</v>
      </c>
      <c r="O37" s="525">
        <v>27.9</v>
      </c>
      <c r="P37" s="525">
        <v>42.2</v>
      </c>
      <c r="Q37" s="525">
        <v>58.3</v>
      </c>
      <c r="R37" s="525">
        <v>78.2</v>
      </c>
    </row>
    <row r="38" spans="1:18" ht="11.25">
      <c r="B38" s="539" t="s">
        <v>872</v>
      </c>
      <c r="C38" s="540">
        <v>117.5</v>
      </c>
      <c r="E38" s="539">
        <v>60</v>
      </c>
      <c r="F38" s="539">
        <v>0.218</v>
      </c>
      <c r="J38" s="530">
        <v>21</v>
      </c>
      <c r="K38" s="525">
        <f t="shared" ref="K38:R38" si="9">(K39+K37)/2</f>
        <v>12.7</v>
      </c>
      <c r="L38" s="525">
        <f t="shared" si="9"/>
        <v>12.7</v>
      </c>
      <c r="M38" s="525">
        <f t="shared" si="9"/>
        <v>14.899999999999999</v>
      </c>
      <c r="N38" s="525">
        <f t="shared" si="9"/>
        <v>19.75</v>
      </c>
      <c r="O38" s="525">
        <f t="shared" si="9"/>
        <v>28.5</v>
      </c>
      <c r="P38" s="525">
        <f t="shared" si="9"/>
        <v>42.2</v>
      </c>
      <c r="Q38" s="525">
        <f t="shared" si="9"/>
        <v>58.65</v>
      </c>
      <c r="R38" s="525">
        <f t="shared" si="9"/>
        <v>78.349999999999994</v>
      </c>
    </row>
    <row r="39" spans="1:18" ht="11.25">
      <c r="B39" s="538" t="s">
        <v>873</v>
      </c>
      <c r="C39" s="537">
        <v>118</v>
      </c>
      <c r="E39" s="543" t="s">
        <v>874</v>
      </c>
      <c r="F39" s="543"/>
      <c r="J39" s="530">
        <v>22</v>
      </c>
      <c r="K39" s="525">
        <v>13.4</v>
      </c>
      <c r="L39" s="525">
        <v>13.4</v>
      </c>
      <c r="M39" s="525">
        <v>15.6</v>
      </c>
      <c r="N39" s="525">
        <v>20.399999999999999</v>
      </c>
      <c r="O39" s="525">
        <v>29.1</v>
      </c>
      <c r="P39" s="525">
        <v>42.2</v>
      </c>
      <c r="Q39" s="525">
        <v>59</v>
      </c>
      <c r="R39" s="525">
        <v>78.5</v>
      </c>
    </row>
    <row r="40" spans="1:18" ht="11.25">
      <c r="B40" s="539" t="s">
        <v>875</v>
      </c>
      <c r="C40" s="540">
        <v>118.5</v>
      </c>
      <c r="J40" s="530">
        <v>23</v>
      </c>
      <c r="K40" s="525">
        <f t="shared" ref="K40:R40" si="10">(K41+K39)/2</f>
        <v>14.15</v>
      </c>
      <c r="L40" s="525">
        <f t="shared" si="10"/>
        <v>14.15</v>
      </c>
      <c r="M40" s="525">
        <f t="shared" si="10"/>
        <v>16.3</v>
      </c>
      <c r="N40" s="525">
        <f t="shared" si="10"/>
        <v>21.1</v>
      </c>
      <c r="O40" s="525">
        <f t="shared" si="10"/>
        <v>29.700000000000003</v>
      </c>
      <c r="P40" s="525">
        <f t="shared" si="10"/>
        <v>42.650000000000006</v>
      </c>
      <c r="Q40" s="525">
        <f t="shared" si="10"/>
        <v>59.3</v>
      </c>
      <c r="R40" s="525">
        <f t="shared" si="10"/>
        <v>78.7</v>
      </c>
    </row>
    <row r="41" spans="1:18" ht="12.75" customHeight="1">
      <c r="B41" s="538" t="s">
        <v>876</v>
      </c>
      <c r="C41" s="537">
        <v>119</v>
      </c>
      <c r="J41" s="530">
        <v>24</v>
      </c>
      <c r="K41" s="525">
        <v>14.9</v>
      </c>
      <c r="L41" s="525">
        <v>14.9</v>
      </c>
      <c r="M41" s="525">
        <v>17</v>
      </c>
      <c r="N41" s="525">
        <v>21.8</v>
      </c>
      <c r="O41" s="525">
        <v>30.3</v>
      </c>
      <c r="P41" s="525">
        <v>43.1</v>
      </c>
      <c r="Q41" s="525">
        <v>59.6</v>
      </c>
      <c r="R41" s="525">
        <v>78.900000000000006</v>
      </c>
    </row>
    <row r="42" spans="1:18" ht="11.25">
      <c r="B42" s="539" t="s">
        <v>877</v>
      </c>
      <c r="C42" s="540">
        <v>119.5</v>
      </c>
      <c r="J42" s="530">
        <v>25</v>
      </c>
      <c r="K42" s="525">
        <f t="shared" ref="K42:R42" si="11">(K43+K41)/2</f>
        <v>15.649999999999999</v>
      </c>
      <c r="L42" s="525">
        <f t="shared" si="11"/>
        <v>15.649999999999999</v>
      </c>
      <c r="M42" s="525">
        <f t="shared" si="11"/>
        <v>17.75</v>
      </c>
      <c r="N42" s="525">
        <f t="shared" si="11"/>
        <v>22.450000000000003</v>
      </c>
      <c r="O42" s="525">
        <f t="shared" si="11"/>
        <v>30.9</v>
      </c>
      <c r="P42" s="525">
        <f t="shared" si="11"/>
        <v>43.6</v>
      </c>
      <c r="Q42" s="525">
        <f t="shared" si="11"/>
        <v>60</v>
      </c>
      <c r="R42" s="525">
        <f t="shared" si="11"/>
        <v>79.099999999999994</v>
      </c>
    </row>
    <row r="43" spans="1:18" ht="11.25">
      <c r="B43" s="538" t="s">
        <v>878</v>
      </c>
      <c r="C43" s="537">
        <v>120</v>
      </c>
      <c r="J43" s="530">
        <v>26</v>
      </c>
      <c r="K43" s="525">
        <v>16.399999999999999</v>
      </c>
      <c r="L43" s="525">
        <v>16.399999999999999</v>
      </c>
      <c r="M43" s="525">
        <v>18.5</v>
      </c>
      <c r="N43" s="525">
        <v>23.1</v>
      </c>
      <c r="O43" s="525">
        <v>31.5</v>
      </c>
      <c r="P43" s="525">
        <v>44.1</v>
      </c>
      <c r="Q43" s="525">
        <v>60.4</v>
      </c>
      <c r="R43" s="525">
        <v>79.3</v>
      </c>
    </row>
    <row r="44" spans="1:18" ht="11.25">
      <c r="B44" s="521" t="s">
        <v>176</v>
      </c>
      <c r="C44" s="540">
        <v>100</v>
      </c>
      <c r="J44" s="530">
        <v>27</v>
      </c>
      <c r="K44" s="525">
        <f t="shared" ref="K44:R44" si="12">(K45+K43)/2</f>
        <v>17.149999999999999</v>
      </c>
      <c r="L44" s="525">
        <f t="shared" si="12"/>
        <v>17.149999999999999</v>
      </c>
      <c r="M44" s="525">
        <f t="shared" si="12"/>
        <v>19.25</v>
      </c>
      <c r="N44" s="525">
        <f t="shared" si="12"/>
        <v>23.85</v>
      </c>
      <c r="O44" s="525">
        <f t="shared" si="12"/>
        <v>32.15</v>
      </c>
      <c r="P44" s="525">
        <f t="shared" si="12"/>
        <v>44.650000000000006</v>
      </c>
      <c r="Q44" s="525">
        <f t="shared" si="12"/>
        <v>60.75</v>
      </c>
      <c r="R44" s="525">
        <f t="shared" si="12"/>
        <v>79.449999999999989</v>
      </c>
    </row>
    <row r="45" spans="1:18" ht="11.25">
      <c r="A45" s="522"/>
      <c r="B45" s="543" t="s">
        <v>874</v>
      </c>
      <c r="J45" s="530">
        <v>28</v>
      </c>
      <c r="K45" s="525">
        <v>17.899999999999999</v>
      </c>
      <c r="L45" s="525">
        <v>17.899999999999999</v>
      </c>
      <c r="M45" s="525">
        <v>20</v>
      </c>
      <c r="N45" s="525">
        <v>24.6</v>
      </c>
      <c r="O45" s="525">
        <v>32.799999999999997</v>
      </c>
      <c r="P45" s="525">
        <v>45.2</v>
      </c>
      <c r="Q45" s="525">
        <v>61.1</v>
      </c>
      <c r="R45" s="525">
        <v>79.599999999999994</v>
      </c>
    </row>
    <row r="46" spans="1:18" ht="11.25">
      <c r="J46" s="530">
        <v>29</v>
      </c>
      <c r="K46" s="525">
        <f t="shared" ref="K46:R46" si="13">(K47+K45)/2</f>
        <v>18.7</v>
      </c>
      <c r="L46" s="525">
        <f t="shared" si="13"/>
        <v>18.7</v>
      </c>
      <c r="M46" s="525">
        <f t="shared" si="13"/>
        <v>20.75</v>
      </c>
      <c r="N46" s="525">
        <f t="shared" si="13"/>
        <v>25.3</v>
      </c>
      <c r="O46" s="525">
        <f t="shared" si="13"/>
        <v>33.450000000000003</v>
      </c>
      <c r="P46" s="525">
        <f t="shared" si="13"/>
        <v>45.7</v>
      </c>
      <c r="Q46" s="525">
        <f t="shared" si="13"/>
        <v>61.45</v>
      </c>
      <c r="R46" s="525">
        <f t="shared" si="13"/>
        <v>79.8</v>
      </c>
    </row>
    <row r="47" spans="1:18" ht="11.25">
      <c r="J47" s="530">
        <v>30</v>
      </c>
      <c r="K47" s="525">
        <v>19.5</v>
      </c>
      <c r="L47" s="525">
        <v>19.5</v>
      </c>
      <c r="M47" s="525">
        <v>21.5</v>
      </c>
      <c r="N47" s="525">
        <v>26</v>
      </c>
      <c r="O47" s="525">
        <v>34.1</v>
      </c>
      <c r="P47" s="525">
        <v>46.2</v>
      </c>
      <c r="Q47" s="525">
        <v>61.8</v>
      </c>
      <c r="R47" s="525">
        <v>80</v>
      </c>
    </row>
    <row r="48" spans="1:18" ht="11.25">
      <c r="J48" s="530">
        <v>31</v>
      </c>
      <c r="K48" s="525">
        <f t="shared" ref="K48:R48" si="14">(K49+K47)/2</f>
        <v>20.3</v>
      </c>
      <c r="L48" s="525">
        <f t="shared" si="14"/>
        <v>20.3</v>
      </c>
      <c r="M48" s="525">
        <f t="shared" si="14"/>
        <v>22.3</v>
      </c>
      <c r="N48" s="525">
        <f t="shared" si="14"/>
        <v>26.75</v>
      </c>
      <c r="O48" s="525">
        <f t="shared" si="14"/>
        <v>34.75</v>
      </c>
      <c r="P48" s="525">
        <f t="shared" si="14"/>
        <v>46.75</v>
      </c>
      <c r="Q48" s="525">
        <f t="shared" si="14"/>
        <v>62.2</v>
      </c>
      <c r="R48" s="525">
        <f t="shared" si="14"/>
        <v>80.2</v>
      </c>
    </row>
    <row r="49" spans="1:20" ht="11.25">
      <c r="J49" s="530">
        <v>32</v>
      </c>
      <c r="K49" s="525">
        <v>21.1</v>
      </c>
      <c r="L49" s="525">
        <v>21.1</v>
      </c>
      <c r="M49" s="525">
        <v>23.1</v>
      </c>
      <c r="N49" s="525">
        <v>27.5</v>
      </c>
      <c r="O49" s="525">
        <v>35.4</v>
      </c>
      <c r="P49" s="525">
        <v>47.3</v>
      </c>
      <c r="Q49" s="525">
        <v>62.6</v>
      </c>
      <c r="R49" s="525">
        <v>80.400000000000006</v>
      </c>
    </row>
    <row r="50" spans="1:20" ht="11.25">
      <c r="J50" s="530">
        <v>33</v>
      </c>
      <c r="K50" s="525">
        <f t="shared" ref="K50:R50" si="15">(K51+K49)/2</f>
        <v>21.950000000000003</v>
      </c>
      <c r="L50" s="525">
        <f t="shared" si="15"/>
        <v>21.950000000000003</v>
      </c>
      <c r="M50" s="525">
        <f t="shared" si="15"/>
        <v>23.9</v>
      </c>
      <c r="N50" s="525">
        <f t="shared" si="15"/>
        <v>28.25</v>
      </c>
      <c r="O50" s="525">
        <f t="shared" si="15"/>
        <v>36.099999999999994</v>
      </c>
      <c r="P50" s="525">
        <f t="shared" si="15"/>
        <v>47.849999999999994</v>
      </c>
      <c r="Q50" s="525">
        <f t="shared" si="15"/>
        <v>63</v>
      </c>
      <c r="R50" s="525">
        <f t="shared" si="15"/>
        <v>80.599999999999994</v>
      </c>
    </row>
    <row r="51" spans="1:20" ht="11.25">
      <c r="J51" s="530">
        <v>34</v>
      </c>
      <c r="K51" s="525">
        <v>22.8</v>
      </c>
      <c r="L51" s="525">
        <v>22.8</v>
      </c>
      <c r="M51" s="525">
        <v>24.7</v>
      </c>
      <c r="N51" s="525">
        <v>29</v>
      </c>
      <c r="O51" s="525">
        <v>36.799999999999997</v>
      </c>
      <c r="P51" s="525">
        <v>48.4</v>
      </c>
      <c r="Q51" s="525">
        <v>63.4</v>
      </c>
      <c r="R51" s="525">
        <v>80.8</v>
      </c>
    </row>
    <row r="52" spans="1:20" ht="11.25">
      <c r="J52" s="530">
        <v>35</v>
      </c>
      <c r="K52" s="525">
        <f t="shared" ref="K52:R52" si="16">(K53+K51)/2</f>
        <v>23.65</v>
      </c>
      <c r="L52" s="525">
        <f t="shared" si="16"/>
        <v>23.65</v>
      </c>
      <c r="M52" s="525">
        <f t="shared" si="16"/>
        <v>25.549999999999997</v>
      </c>
      <c r="N52" s="525">
        <f t="shared" si="16"/>
        <v>29.75</v>
      </c>
      <c r="O52" s="525">
        <f t="shared" si="16"/>
        <v>37.450000000000003</v>
      </c>
      <c r="P52" s="525">
        <f t="shared" si="16"/>
        <v>48.95</v>
      </c>
      <c r="Q52" s="525">
        <f t="shared" si="16"/>
        <v>63.8</v>
      </c>
      <c r="R52" s="525">
        <f t="shared" si="16"/>
        <v>81.05</v>
      </c>
    </row>
    <row r="53" spans="1:20" ht="11.25">
      <c r="J53" s="530">
        <v>36</v>
      </c>
      <c r="K53" s="525">
        <v>24.5</v>
      </c>
      <c r="L53" s="525">
        <v>24.5</v>
      </c>
      <c r="M53" s="525">
        <v>26.4</v>
      </c>
      <c r="N53" s="525">
        <v>30.5</v>
      </c>
      <c r="O53" s="525">
        <v>38.1</v>
      </c>
      <c r="P53" s="525">
        <v>49.5</v>
      </c>
      <c r="Q53" s="525">
        <v>64.2</v>
      </c>
      <c r="R53" s="525">
        <v>81.3</v>
      </c>
    </row>
    <row r="54" spans="1:20" ht="11.25">
      <c r="J54" s="530">
        <v>37</v>
      </c>
      <c r="K54" s="525">
        <f t="shared" ref="K54:R54" si="17">(K55+K53)/2</f>
        <v>25.35</v>
      </c>
      <c r="L54" s="525">
        <f t="shared" si="17"/>
        <v>25.35</v>
      </c>
      <c r="M54" s="525">
        <f t="shared" si="17"/>
        <v>27.25</v>
      </c>
      <c r="N54" s="525">
        <f t="shared" si="17"/>
        <v>31.35</v>
      </c>
      <c r="O54" s="525">
        <f t="shared" si="17"/>
        <v>38.85</v>
      </c>
      <c r="P54" s="525">
        <f t="shared" si="17"/>
        <v>50.1</v>
      </c>
      <c r="Q54" s="525">
        <f t="shared" si="17"/>
        <v>64.599999999999994</v>
      </c>
      <c r="R54" s="525">
        <f t="shared" si="17"/>
        <v>81.5</v>
      </c>
    </row>
    <row r="55" spans="1:20" ht="11.25">
      <c r="J55" s="530">
        <v>38</v>
      </c>
      <c r="K55" s="525">
        <v>26.2</v>
      </c>
      <c r="L55" s="525">
        <v>26.2</v>
      </c>
      <c r="M55" s="525">
        <v>28.1</v>
      </c>
      <c r="N55" s="525">
        <v>32.200000000000003</v>
      </c>
      <c r="O55" s="525">
        <v>39.6</v>
      </c>
      <c r="P55" s="525">
        <v>50.7</v>
      </c>
      <c r="Q55" s="525">
        <v>65</v>
      </c>
      <c r="R55" s="525">
        <v>81.7</v>
      </c>
    </row>
    <row r="56" spans="1:20" ht="11.25">
      <c r="J56" s="530">
        <v>39</v>
      </c>
      <c r="K56" s="525">
        <f t="shared" ref="K56:R56" si="18">(K57+K55)/2</f>
        <v>27.5</v>
      </c>
      <c r="L56" s="525">
        <f t="shared" si="18"/>
        <v>27.5</v>
      </c>
      <c r="M56" s="525">
        <f t="shared" si="18"/>
        <v>29</v>
      </c>
      <c r="N56" s="525">
        <f t="shared" si="18"/>
        <v>33</v>
      </c>
      <c r="O56" s="525">
        <f t="shared" si="18"/>
        <v>40.299999999999997</v>
      </c>
      <c r="P56" s="525">
        <f t="shared" si="18"/>
        <v>51.3</v>
      </c>
      <c r="Q56" s="525">
        <f t="shared" si="18"/>
        <v>65.45</v>
      </c>
      <c r="R56" s="525">
        <f t="shared" si="18"/>
        <v>81.900000000000006</v>
      </c>
    </row>
    <row r="57" spans="1:20" ht="11.25">
      <c r="J57" s="530">
        <v>40</v>
      </c>
      <c r="K57" s="525">
        <v>28.8</v>
      </c>
      <c r="L57" s="525">
        <v>28.8</v>
      </c>
      <c r="M57" s="525">
        <v>29.9</v>
      </c>
      <c r="N57" s="525">
        <v>33.799999999999997</v>
      </c>
      <c r="O57" s="525">
        <v>41</v>
      </c>
      <c r="P57" s="525">
        <v>51.9</v>
      </c>
      <c r="Q57" s="525">
        <v>65.900000000000006</v>
      </c>
      <c r="R57" s="525">
        <v>82.1</v>
      </c>
    </row>
    <row r="58" spans="1:20" ht="11.25">
      <c r="J58" s="530">
        <v>41</v>
      </c>
      <c r="K58" s="525">
        <f t="shared" ref="K58:R58" si="19">(K59+K57)/2</f>
        <v>29.35</v>
      </c>
      <c r="L58" s="525">
        <f t="shared" si="19"/>
        <v>29.35</v>
      </c>
      <c r="M58" s="525">
        <f t="shared" si="19"/>
        <v>30.75</v>
      </c>
      <c r="N58" s="525">
        <f t="shared" si="19"/>
        <v>34.65</v>
      </c>
      <c r="O58" s="525">
        <f t="shared" si="19"/>
        <v>41.75</v>
      </c>
      <c r="P58" s="525">
        <f t="shared" si="19"/>
        <v>52.5</v>
      </c>
      <c r="Q58" s="525">
        <f t="shared" si="19"/>
        <v>66.300000000000011</v>
      </c>
      <c r="R58" s="525">
        <f t="shared" si="19"/>
        <v>82.35</v>
      </c>
    </row>
    <row r="59" spans="1:20" ht="11.25">
      <c r="J59" s="530">
        <v>42</v>
      </c>
      <c r="K59" s="525">
        <v>29.9</v>
      </c>
      <c r="L59" s="525">
        <v>29.9</v>
      </c>
      <c r="M59" s="525">
        <v>31.6</v>
      </c>
      <c r="N59" s="525">
        <v>35.5</v>
      </c>
      <c r="O59" s="525">
        <v>42.5</v>
      </c>
      <c r="P59" s="525">
        <v>53.1</v>
      </c>
      <c r="Q59" s="525">
        <v>66.7</v>
      </c>
      <c r="R59" s="525">
        <v>82.6</v>
      </c>
    </row>
    <row r="60" spans="1:20" ht="11.25">
      <c r="J60" s="530">
        <v>43</v>
      </c>
      <c r="K60" s="525">
        <f t="shared" ref="K60:R60" si="20">(K61+K59)/2</f>
        <v>30.799999999999997</v>
      </c>
      <c r="L60" s="525">
        <f t="shared" si="20"/>
        <v>30.799999999999997</v>
      </c>
      <c r="M60" s="525">
        <f t="shared" si="20"/>
        <v>32.5</v>
      </c>
      <c r="N60" s="525">
        <f t="shared" si="20"/>
        <v>36.35</v>
      </c>
      <c r="O60" s="525">
        <f t="shared" si="20"/>
        <v>43.25</v>
      </c>
      <c r="P60" s="525">
        <f t="shared" si="20"/>
        <v>53.75</v>
      </c>
      <c r="Q60" s="525">
        <f t="shared" si="20"/>
        <v>67.150000000000006</v>
      </c>
      <c r="R60" s="525">
        <f t="shared" si="20"/>
        <v>82.85</v>
      </c>
    </row>
    <row r="61" spans="1:20" ht="11.25">
      <c r="J61" s="530">
        <v>44</v>
      </c>
      <c r="K61" s="525">
        <v>31.7</v>
      </c>
      <c r="L61" s="525">
        <v>31.7</v>
      </c>
      <c r="M61" s="525">
        <v>33.4</v>
      </c>
      <c r="N61" s="525">
        <v>37.200000000000003</v>
      </c>
      <c r="O61" s="525">
        <v>44</v>
      </c>
      <c r="P61" s="525">
        <v>54.4</v>
      </c>
      <c r="Q61" s="525">
        <v>67.599999999999994</v>
      </c>
      <c r="R61" s="525">
        <v>83.1</v>
      </c>
    </row>
    <row r="62" spans="1:20" ht="11.25">
      <c r="J62" s="530">
        <v>45</v>
      </c>
      <c r="K62" s="525">
        <f t="shared" ref="K62:R62" si="21">(K63+K61)/2</f>
        <v>32.65</v>
      </c>
      <c r="L62" s="525">
        <f t="shared" si="21"/>
        <v>32.65</v>
      </c>
      <c r="M62" s="525">
        <f t="shared" si="21"/>
        <v>34.299999999999997</v>
      </c>
      <c r="N62" s="525">
        <f t="shared" si="21"/>
        <v>38.049999999999997</v>
      </c>
      <c r="O62" s="525">
        <f t="shared" si="21"/>
        <v>44.8</v>
      </c>
      <c r="P62" s="525">
        <f t="shared" si="21"/>
        <v>55</v>
      </c>
      <c r="Q62" s="525">
        <f t="shared" si="21"/>
        <v>68.05</v>
      </c>
      <c r="R62" s="525">
        <f t="shared" si="21"/>
        <v>83.3</v>
      </c>
    </row>
    <row r="63" spans="1:20" ht="12.75">
      <c r="A63" s="1221" t="s">
        <v>879</v>
      </c>
      <c r="B63" s="1221"/>
      <c r="C63" s="1221"/>
      <c r="D63" s="1221"/>
      <c r="E63" s="1221"/>
      <c r="F63" s="1221"/>
      <c r="G63" s="1221"/>
      <c r="H63" s="1221"/>
      <c r="I63" s="544"/>
      <c r="J63" s="530">
        <v>46</v>
      </c>
      <c r="K63" s="525">
        <v>33.6</v>
      </c>
      <c r="L63" s="525">
        <v>33.6</v>
      </c>
      <c r="M63" s="525">
        <v>35.200000000000003</v>
      </c>
      <c r="N63" s="525">
        <v>38.9</v>
      </c>
      <c r="O63" s="525">
        <v>45.6</v>
      </c>
      <c r="P63" s="525">
        <v>55.6</v>
      </c>
      <c r="Q63" s="525">
        <v>68.5</v>
      </c>
      <c r="R63" s="525">
        <v>83.5</v>
      </c>
      <c r="T63" s="544"/>
    </row>
    <row r="64" spans="1:20" ht="13.5" thickBot="1">
      <c r="A64" s="545" t="s">
        <v>880</v>
      </c>
      <c r="B64" s="546"/>
      <c r="C64" s="546"/>
      <c r="D64" s="546"/>
      <c r="E64" s="546"/>
      <c r="F64" s="546"/>
      <c r="G64" s="546"/>
      <c r="H64" s="546"/>
      <c r="J64" s="530">
        <v>47</v>
      </c>
      <c r="K64" s="525">
        <f t="shared" ref="K64:R64" si="22">(K65+K63)/2</f>
        <v>34.549999999999997</v>
      </c>
      <c r="L64" s="525">
        <f t="shared" si="22"/>
        <v>34.549999999999997</v>
      </c>
      <c r="M64" s="525">
        <f t="shared" si="22"/>
        <v>36.150000000000006</v>
      </c>
      <c r="N64" s="525">
        <f t="shared" si="22"/>
        <v>39.799999999999997</v>
      </c>
      <c r="O64" s="525">
        <f t="shared" si="22"/>
        <v>46.400000000000006</v>
      </c>
      <c r="P64" s="525">
        <f t="shared" si="22"/>
        <v>56.25</v>
      </c>
      <c r="Q64" s="525">
        <f t="shared" si="22"/>
        <v>68.95</v>
      </c>
      <c r="R64" s="525">
        <f t="shared" si="22"/>
        <v>83.75</v>
      </c>
    </row>
    <row r="65" spans="1:18" ht="22.5">
      <c r="A65" s="547" t="s">
        <v>881</v>
      </c>
      <c r="B65" s="548" t="s">
        <v>882</v>
      </c>
      <c r="C65" s="548"/>
      <c r="D65" s="549" t="s">
        <v>883</v>
      </c>
      <c r="E65" s="549"/>
      <c r="F65" s="549"/>
      <c r="G65" s="549"/>
      <c r="H65" s="550"/>
      <c r="J65" s="530">
        <v>48</v>
      </c>
      <c r="K65" s="525">
        <v>35.5</v>
      </c>
      <c r="L65" s="525">
        <v>35.5</v>
      </c>
      <c r="M65" s="525">
        <v>37.1</v>
      </c>
      <c r="N65" s="525">
        <v>40.700000000000003</v>
      </c>
      <c r="O65" s="525">
        <v>47.2</v>
      </c>
      <c r="P65" s="525">
        <v>56.9</v>
      </c>
      <c r="Q65" s="525">
        <v>69.400000000000006</v>
      </c>
      <c r="R65" s="525">
        <v>84</v>
      </c>
    </row>
    <row r="66" spans="1:18" ht="12" thickBot="1">
      <c r="A66" s="551"/>
      <c r="B66" s="552"/>
      <c r="C66" s="552"/>
      <c r="D66" s="553" t="s">
        <v>884</v>
      </c>
      <c r="E66" s="553" t="s">
        <v>885</v>
      </c>
      <c r="F66" s="553" t="s">
        <v>4</v>
      </c>
      <c r="G66" s="553" t="s">
        <v>885</v>
      </c>
      <c r="H66" s="554" t="s">
        <v>886</v>
      </c>
      <c r="J66" s="530">
        <v>49</v>
      </c>
      <c r="K66" s="525">
        <f t="shared" ref="K66:R66" si="23">(K67+K65)/2</f>
        <v>36.5</v>
      </c>
      <c r="L66" s="525">
        <f t="shared" si="23"/>
        <v>36.5</v>
      </c>
      <c r="M66" s="525">
        <f t="shared" si="23"/>
        <v>38.1</v>
      </c>
      <c r="N66" s="525">
        <f t="shared" si="23"/>
        <v>41.650000000000006</v>
      </c>
      <c r="O66" s="525">
        <f t="shared" si="23"/>
        <v>48</v>
      </c>
      <c r="P66" s="525">
        <f t="shared" si="23"/>
        <v>57.55</v>
      </c>
      <c r="Q66" s="525">
        <f t="shared" si="23"/>
        <v>69.900000000000006</v>
      </c>
      <c r="R66" s="525">
        <f t="shared" si="23"/>
        <v>84.25</v>
      </c>
    </row>
    <row r="67" spans="1:18" ht="22.5">
      <c r="A67" s="555" t="s">
        <v>887</v>
      </c>
      <c r="B67" s="556" t="s">
        <v>888</v>
      </c>
      <c r="C67" s="556"/>
      <c r="D67" s="557">
        <v>0.6</v>
      </c>
      <c r="E67" s="557">
        <f t="shared" ref="E67:E74" si="24">(F67+D67)/2</f>
        <v>0.70500000000000007</v>
      </c>
      <c r="F67" s="558">
        <v>0.81</v>
      </c>
      <c r="G67" s="557">
        <f t="shared" ref="G67:G74" si="25">(H67+F67)/2</f>
        <v>0.91500000000000004</v>
      </c>
      <c r="H67" s="559">
        <v>1.02</v>
      </c>
      <c r="J67" s="530">
        <v>50</v>
      </c>
      <c r="K67" s="525">
        <v>37.5</v>
      </c>
      <c r="L67" s="525">
        <v>37.5</v>
      </c>
      <c r="M67" s="525">
        <v>39.1</v>
      </c>
      <c r="N67" s="525">
        <v>42.6</v>
      </c>
      <c r="O67" s="525">
        <v>48.8</v>
      </c>
      <c r="P67" s="525">
        <v>58.2</v>
      </c>
      <c r="Q67" s="525">
        <v>70.400000000000006</v>
      </c>
      <c r="R67" s="525">
        <v>84.5</v>
      </c>
    </row>
    <row r="68" spans="1:18" ht="11.25">
      <c r="A68" s="560"/>
      <c r="B68" s="561" t="s">
        <v>889</v>
      </c>
      <c r="C68" s="521" t="s">
        <v>890</v>
      </c>
      <c r="D68" s="562">
        <v>1.032</v>
      </c>
      <c r="E68" s="562">
        <f t="shared" si="24"/>
        <v>1.149</v>
      </c>
      <c r="F68" s="563">
        <v>1.266</v>
      </c>
      <c r="G68" s="562">
        <f t="shared" si="25"/>
        <v>1.383</v>
      </c>
      <c r="H68" s="564">
        <v>1.5</v>
      </c>
      <c r="J68" s="530">
        <v>51</v>
      </c>
      <c r="K68" s="525">
        <f t="shared" ref="K68:R68" si="26">(K69+K67)/2</f>
        <v>38.5</v>
      </c>
      <c r="L68" s="525">
        <f t="shared" si="26"/>
        <v>38.5</v>
      </c>
      <c r="M68" s="525">
        <f t="shared" si="26"/>
        <v>40.5</v>
      </c>
      <c r="N68" s="525">
        <f t="shared" si="26"/>
        <v>43.3</v>
      </c>
      <c r="O68" s="525">
        <f t="shared" si="26"/>
        <v>49.65</v>
      </c>
      <c r="P68" s="525">
        <f t="shared" si="26"/>
        <v>58.900000000000006</v>
      </c>
      <c r="Q68" s="525">
        <f t="shared" si="26"/>
        <v>70.849999999999994</v>
      </c>
      <c r="R68" s="525">
        <f t="shared" si="26"/>
        <v>84.75</v>
      </c>
    </row>
    <row r="69" spans="1:18" ht="11.25">
      <c r="A69" s="560"/>
      <c r="B69" s="561"/>
      <c r="C69" s="521" t="s">
        <v>891</v>
      </c>
      <c r="D69" s="562">
        <v>1.26</v>
      </c>
      <c r="E69" s="562">
        <f t="shared" si="24"/>
        <v>1.365</v>
      </c>
      <c r="F69" s="563">
        <v>1.47</v>
      </c>
      <c r="G69" s="562">
        <f t="shared" si="25"/>
        <v>1.575</v>
      </c>
      <c r="H69" s="564">
        <v>1.68</v>
      </c>
      <c r="J69" s="530">
        <v>52</v>
      </c>
      <c r="K69" s="525">
        <v>39.5</v>
      </c>
      <c r="L69" s="525">
        <v>39.5</v>
      </c>
      <c r="M69" s="525">
        <v>41.9</v>
      </c>
      <c r="N69" s="525">
        <v>44</v>
      </c>
      <c r="O69" s="525">
        <v>50.5</v>
      </c>
      <c r="P69" s="525">
        <v>59.6</v>
      </c>
      <c r="Q69" s="525">
        <v>71.3</v>
      </c>
      <c r="R69" s="525">
        <v>85</v>
      </c>
    </row>
    <row r="70" spans="1:18" ht="11.25">
      <c r="A70" s="560"/>
      <c r="B70" s="561" t="s">
        <v>892</v>
      </c>
      <c r="C70" s="521" t="s">
        <v>890</v>
      </c>
      <c r="D70" s="562">
        <v>1.512</v>
      </c>
      <c r="E70" s="562">
        <f t="shared" si="24"/>
        <v>1.629</v>
      </c>
      <c r="F70" s="563">
        <v>1.746</v>
      </c>
      <c r="G70" s="562">
        <f t="shared" si="25"/>
        <v>1.863</v>
      </c>
      <c r="H70" s="564">
        <v>1.98</v>
      </c>
      <c r="J70" s="530">
        <v>53</v>
      </c>
      <c r="K70" s="525">
        <f t="shared" ref="K70:R70" si="27">(K71+K69)/2</f>
        <v>40.549999999999997</v>
      </c>
      <c r="L70" s="525">
        <f t="shared" si="27"/>
        <v>40.549999999999997</v>
      </c>
      <c r="M70" s="525">
        <f t="shared" si="27"/>
        <v>42.45</v>
      </c>
      <c r="N70" s="525">
        <f t="shared" si="27"/>
        <v>45.15</v>
      </c>
      <c r="O70" s="525">
        <f t="shared" si="27"/>
        <v>51.3</v>
      </c>
      <c r="P70" s="525">
        <f t="shared" si="27"/>
        <v>60.3</v>
      </c>
      <c r="Q70" s="525">
        <f t="shared" si="27"/>
        <v>71.8</v>
      </c>
      <c r="R70" s="525">
        <f t="shared" si="27"/>
        <v>85.25</v>
      </c>
    </row>
    <row r="71" spans="1:18" ht="11.25">
      <c r="A71" s="560"/>
      <c r="B71" s="561"/>
      <c r="C71" s="521" t="s">
        <v>891</v>
      </c>
      <c r="D71" s="562">
        <v>1.6919999999999999</v>
      </c>
      <c r="E71" s="562">
        <f t="shared" si="24"/>
        <v>1.8089999999999999</v>
      </c>
      <c r="F71" s="563">
        <v>1.9259999999999999</v>
      </c>
      <c r="G71" s="562">
        <f t="shared" si="25"/>
        <v>2.0430000000000001</v>
      </c>
      <c r="H71" s="564">
        <v>2.16</v>
      </c>
      <c r="J71" s="530">
        <v>54</v>
      </c>
      <c r="K71" s="525">
        <v>41.6</v>
      </c>
      <c r="L71" s="525">
        <v>41.6</v>
      </c>
      <c r="M71" s="525">
        <v>43</v>
      </c>
      <c r="N71" s="525">
        <v>46.3</v>
      </c>
      <c r="O71" s="525">
        <v>52.1</v>
      </c>
      <c r="P71" s="525">
        <v>61</v>
      </c>
      <c r="Q71" s="525">
        <v>72.3</v>
      </c>
      <c r="R71" s="525">
        <v>85.5</v>
      </c>
    </row>
    <row r="72" spans="1:18" ht="11.25">
      <c r="A72" s="560"/>
      <c r="B72" s="561" t="s">
        <v>893</v>
      </c>
      <c r="C72" s="521" t="s">
        <v>890</v>
      </c>
      <c r="D72" s="562">
        <v>1.992</v>
      </c>
      <c r="E72" s="562">
        <f t="shared" si="24"/>
        <v>2.109</v>
      </c>
      <c r="F72" s="563">
        <v>2.226</v>
      </c>
      <c r="G72" s="562">
        <f t="shared" si="25"/>
        <v>2.343</v>
      </c>
      <c r="H72" s="564">
        <v>2.46</v>
      </c>
      <c r="J72" s="530">
        <v>55</v>
      </c>
      <c r="K72" s="525">
        <f t="shared" ref="K72:R72" si="28">(K73+K71)/2</f>
        <v>42.650000000000006</v>
      </c>
      <c r="L72" s="525">
        <f t="shared" si="28"/>
        <v>42.650000000000006</v>
      </c>
      <c r="M72" s="525">
        <f t="shared" si="28"/>
        <v>44.05</v>
      </c>
      <c r="N72" s="525">
        <f t="shared" si="28"/>
        <v>47.25</v>
      </c>
      <c r="O72" s="525">
        <f t="shared" si="28"/>
        <v>53</v>
      </c>
      <c r="P72" s="525">
        <f t="shared" si="28"/>
        <v>61.7</v>
      </c>
      <c r="Q72" s="525">
        <f t="shared" si="28"/>
        <v>67.8</v>
      </c>
      <c r="R72" s="525">
        <f t="shared" si="28"/>
        <v>85.75</v>
      </c>
    </row>
    <row r="73" spans="1:18" ht="11.25">
      <c r="A73" s="560"/>
      <c r="B73" s="561"/>
      <c r="C73" s="521" t="s">
        <v>891</v>
      </c>
      <c r="D73" s="562">
        <v>2.1720000000000002</v>
      </c>
      <c r="E73" s="562">
        <f t="shared" si="24"/>
        <v>2.2890000000000001</v>
      </c>
      <c r="F73" s="563">
        <v>2.4060000000000001</v>
      </c>
      <c r="G73" s="562">
        <f t="shared" si="25"/>
        <v>2.5230000000000001</v>
      </c>
      <c r="H73" s="564">
        <v>2.64</v>
      </c>
      <c r="J73" s="530">
        <v>56</v>
      </c>
      <c r="K73" s="525">
        <v>43.7</v>
      </c>
      <c r="L73" s="525">
        <v>43.7</v>
      </c>
      <c r="M73" s="525">
        <v>45.1</v>
      </c>
      <c r="N73" s="525">
        <v>48.2</v>
      </c>
      <c r="O73" s="525">
        <v>53.9</v>
      </c>
      <c r="P73" s="525">
        <v>62.4</v>
      </c>
      <c r="Q73" s="525">
        <v>63.3</v>
      </c>
      <c r="R73" s="525">
        <v>86</v>
      </c>
    </row>
    <row r="74" spans="1:18" ht="11.25">
      <c r="A74" s="560"/>
      <c r="B74" s="565" t="s">
        <v>894</v>
      </c>
      <c r="C74" s="565"/>
      <c r="D74" s="562">
        <v>2.6520000000000001</v>
      </c>
      <c r="E74" s="562">
        <f t="shared" si="24"/>
        <v>2.859</v>
      </c>
      <c r="F74" s="563">
        <v>3.0659999999999998</v>
      </c>
      <c r="G74" s="562">
        <f t="shared" si="25"/>
        <v>2.8529999999999998</v>
      </c>
      <c r="H74" s="564">
        <v>2.64</v>
      </c>
      <c r="J74" s="530">
        <v>57</v>
      </c>
      <c r="K74" s="525">
        <f t="shared" ref="K74:R74" si="29">(K75+K73)/2</f>
        <v>44.75</v>
      </c>
      <c r="L74" s="525">
        <f t="shared" si="29"/>
        <v>44.75</v>
      </c>
      <c r="M74" s="525">
        <f t="shared" si="29"/>
        <v>46.150000000000006</v>
      </c>
      <c r="N74" s="525">
        <f t="shared" si="29"/>
        <v>49.2</v>
      </c>
      <c r="O74" s="525">
        <f t="shared" si="29"/>
        <v>54.75</v>
      </c>
      <c r="P74" s="525">
        <f t="shared" si="29"/>
        <v>63.099999999999994</v>
      </c>
      <c r="Q74" s="525">
        <f t="shared" si="29"/>
        <v>68.8</v>
      </c>
      <c r="R74" s="525">
        <f t="shared" si="29"/>
        <v>86.3</v>
      </c>
    </row>
    <row r="75" spans="1:18" ht="12" thickBot="1">
      <c r="A75" s="566"/>
      <c r="B75" s="567" t="s">
        <v>895</v>
      </c>
      <c r="C75" s="567"/>
      <c r="D75" s="568" t="s">
        <v>896</v>
      </c>
      <c r="E75" s="568"/>
      <c r="F75" s="569"/>
      <c r="G75" s="569"/>
      <c r="H75" s="570"/>
      <c r="I75" s="544"/>
      <c r="J75" s="530">
        <v>58</v>
      </c>
      <c r="K75" s="525">
        <v>45.8</v>
      </c>
      <c r="L75" s="525">
        <v>45.8</v>
      </c>
      <c r="M75" s="525">
        <v>47.2</v>
      </c>
      <c r="N75" s="525">
        <v>50.2</v>
      </c>
      <c r="O75" s="525">
        <v>55.6</v>
      </c>
      <c r="P75" s="525">
        <v>63.8</v>
      </c>
      <c r="Q75" s="525">
        <v>74.3</v>
      </c>
      <c r="R75" s="525">
        <v>86.6</v>
      </c>
    </row>
    <row r="76" spans="1:18" ht="22.5">
      <c r="A76" s="555" t="s">
        <v>897</v>
      </c>
      <c r="B76" s="556" t="s">
        <v>898</v>
      </c>
      <c r="C76" s="556"/>
      <c r="D76" s="557">
        <v>0.6</v>
      </c>
      <c r="E76" s="557">
        <f t="shared" ref="E76:E83" si="30">(F76+D76)/2</f>
        <v>0.69</v>
      </c>
      <c r="F76" s="558">
        <v>0.78</v>
      </c>
      <c r="G76" s="557">
        <f t="shared" ref="G76:G83" si="31">(H76+F76)/2</f>
        <v>0.87</v>
      </c>
      <c r="H76" s="559">
        <v>0.96</v>
      </c>
      <c r="J76" s="530">
        <v>59</v>
      </c>
      <c r="K76" s="525">
        <f t="shared" ref="K76:R76" si="32">(K77+K75)/2</f>
        <v>47.3</v>
      </c>
      <c r="L76" s="525">
        <f t="shared" si="32"/>
        <v>47.3</v>
      </c>
      <c r="M76" s="525">
        <f t="shared" si="32"/>
        <v>48.25</v>
      </c>
      <c r="N76" s="525">
        <f t="shared" si="32"/>
        <v>51.2</v>
      </c>
      <c r="O76" s="525">
        <f t="shared" si="32"/>
        <v>56.5</v>
      </c>
      <c r="P76" s="525">
        <f t="shared" si="32"/>
        <v>64.55</v>
      </c>
      <c r="Q76" s="525">
        <f t="shared" si="32"/>
        <v>74.8</v>
      </c>
      <c r="R76" s="525">
        <f t="shared" si="32"/>
        <v>86.85</v>
      </c>
    </row>
    <row r="77" spans="1:18" ht="11.25">
      <c r="A77" s="560"/>
      <c r="B77" s="571" t="s">
        <v>899</v>
      </c>
      <c r="C77" s="521" t="s">
        <v>890</v>
      </c>
      <c r="D77" s="562">
        <v>0.97199999999999998</v>
      </c>
      <c r="E77" s="562">
        <f t="shared" si="30"/>
        <v>1.089</v>
      </c>
      <c r="F77" s="563">
        <v>1.206</v>
      </c>
      <c r="G77" s="562">
        <f t="shared" si="31"/>
        <v>1.323</v>
      </c>
      <c r="H77" s="564">
        <v>1.44</v>
      </c>
      <c r="J77" s="530">
        <v>60</v>
      </c>
      <c r="K77" s="525">
        <v>48.8</v>
      </c>
      <c r="L77" s="525">
        <v>48.8</v>
      </c>
      <c r="M77" s="525">
        <v>49.3</v>
      </c>
      <c r="N77" s="525">
        <v>52.2</v>
      </c>
      <c r="O77" s="525">
        <v>57.4</v>
      </c>
      <c r="P77" s="525">
        <v>65.3</v>
      </c>
      <c r="Q77" s="525">
        <v>75.3</v>
      </c>
      <c r="R77" s="525">
        <v>87.1</v>
      </c>
    </row>
    <row r="78" spans="1:18" ht="11.25">
      <c r="A78" s="560"/>
      <c r="B78" s="571"/>
      <c r="C78" s="521" t="s">
        <v>891</v>
      </c>
      <c r="D78" s="562">
        <v>1.2</v>
      </c>
      <c r="E78" s="562">
        <f t="shared" si="30"/>
        <v>1.3049999999999999</v>
      </c>
      <c r="F78" s="563">
        <v>1.41</v>
      </c>
      <c r="G78" s="562">
        <f t="shared" si="31"/>
        <v>1.5150000000000001</v>
      </c>
      <c r="H78" s="564">
        <v>1.62</v>
      </c>
      <c r="J78" s="530">
        <v>61</v>
      </c>
      <c r="K78" s="525">
        <f t="shared" ref="K78:R78" si="33">(K79+K77)/2</f>
        <v>49.5</v>
      </c>
      <c r="L78" s="525">
        <f t="shared" si="33"/>
        <v>49.5</v>
      </c>
      <c r="M78" s="525">
        <f t="shared" si="33"/>
        <v>50.4</v>
      </c>
      <c r="N78" s="525">
        <f t="shared" si="33"/>
        <v>53.2</v>
      </c>
      <c r="O78" s="525">
        <f t="shared" si="33"/>
        <v>58.3</v>
      </c>
      <c r="P78" s="525">
        <f t="shared" si="33"/>
        <v>66</v>
      </c>
      <c r="Q78" s="525">
        <f t="shared" si="33"/>
        <v>75.349999999999994</v>
      </c>
      <c r="R78" s="525">
        <f t="shared" si="33"/>
        <v>87.4</v>
      </c>
    </row>
    <row r="79" spans="1:18" ht="11.25">
      <c r="A79" s="560"/>
      <c r="B79" s="571" t="s">
        <v>900</v>
      </c>
      <c r="C79" s="521" t="s">
        <v>890</v>
      </c>
      <c r="D79" s="562">
        <v>1.452</v>
      </c>
      <c r="E79" s="562">
        <f t="shared" si="30"/>
        <v>1.5539999999999998</v>
      </c>
      <c r="F79" s="563">
        <v>1.6559999999999999</v>
      </c>
      <c r="G79" s="562">
        <f t="shared" si="31"/>
        <v>1.758</v>
      </c>
      <c r="H79" s="564">
        <v>1.86</v>
      </c>
      <c r="J79" s="530">
        <v>62</v>
      </c>
      <c r="K79" s="525">
        <v>50.2</v>
      </c>
      <c r="L79" s="525">
        <v>50.2</v>
      </c>
      <c r="M79" s="525">
        <v>51.5</v>
      </c>
      <c r="N79" s="525">
        <v>54.2</v>
      </c>
      <c r="O79" s="525">
        <v>59.2</v>
      </c>
      <c r="P79" s="525">
        <v>66.7</v>
      </c>
      <c r="Q79" s="525">
        <v>75.400000000000006</v>
      </c>
      <c r="R79" s="525">
        <v>87.7</v>
      </c>
    </row>
    <row r="80" spans="1:18" ht="11.25">
      <c r="A80" s="560"/>
      <c r="B80" s="571"/>
      <c r="C80" s="521" t="s">
        <v>891</v>
      </c>
      <c r="D80" s="562">
        <v>1.6319999999999999</v>
      </c>
      <c r="E80" s="562">
        <f t="shared" si="30"/>
        <v>1.734</v>
      </c>
      <c r="F80" s="563">
        <v>1.8360000000000001</v>
      </c>
      <c r="G80" s="562">
        <f t="shared" si="31"/>
        <v>1.9380000000000002</v>
      </c>
      <c r="H80" s="564">
        <v>2.04</v>
      </c>
      <c r="J80" s="530">
        <v>63</v>
      </c>
      <c r="K80" s="525">
        <f t="shared" ref="K80:R80" si="34">(K81+K79)/2</f>
        <v>51.35</v>
      </c>
      <c r="L80" s="525">
        <f t="shared" si="34"/>
        <v>51.35</v>
      </c>
      <c r="M80" s="525">
        <f t="shared" si="34"/>
        <v>52.6</v>
      </c>
      <c r="N80" s="525">
        <f t="shared" si="34"/>
        <v>55.25</v>
      </c>
      <c r="O80" s="525">
        <f t="shared" si="34"/>
        <v>60.150000000000006</v>
      </c>
      <c r="P80" s="525">
        <f t="shared" si="34"/>
        <v>64</v>
      </c>
      <c r="Q80" s="525">
        <f t="shared" si="34"/>
        <v>76.45</v>
      </c>
      <c r="R80" s="525">
        <f t="shared" si="34"/>
        <v>87.95</v>
      </c>
    </row>
    <row r="81" spans="1:18" ht="11.25">
      <c r="A81" s="560"/>
      <c r="B81" s="571" t="s">
        <v>901</v>
      </c>
      <c r="C81" s="521" t="s">
        <v>890</v>
      </c>
      <c r="D81" s="562">
        <v>1.8720000000000001</v>
      </c>
      <c r="E81" s="562">
        <f t="shared" si="30"/>
        <v>1.9590000000000001</v>
      </c>
      <c r="F81" s="563">
        <v>2.0459999999999998</v>
      </c>
      <c r="G81" s="562">
        <f t="shared" si="31"/>
        <v>2.133</v>
      </c>
      <c r="H81" s="564">
        <v>2.2200000000000002</v>
      </c>
      <c r="J81" s="530">
        <v>64</v>
      </c>
      <c r="K81" s="525">
        <v>52.5</v>
      </c>
      <c r="L81" s="525">
        <v>52.5</v>
      </c>
      <c r="M81" s="525">
        <v>53.7</v>
      </c>
      <c r="N81" s="525">
        <v>56.3</v>
      </c>
      <c r="O81" s="525">
        <v>61.1</v>
      </c>
      <c r="P81" s="525">
        <v>61.3</v>
      </c>
      <c r="Q81" s="525">
        <v>77.5</v>
      </c>
      <c r="R81" s="525">
        <v>88.2</v>
      </c>
    </row>
    <row r="82" spans="1:18" ht="11.25">
      <c r="A82" s="560"/>
      <c r="B82" s="571"/>
      <c r="C82" s="521" t="s">
        <v>891</v>
      </c>
      <c r="D82" s="562">
        <v>2.052</v>
      </c>
      <c r="E82" s="562">
        <f t="shared" si="30"/>
        <v>2.169</v>
      </c>
      <c r="F82" s="563">
        <v>2.286</v>
      </c>
      <c r="G82" s="562">
        <f t="shared" si="31"/>
        <v>2.403</v>
      </c>
      <c r="H82" s="564">
        <v>2.52</v>
      </c>
      <c r="J82" s="530">
        <v>65</v>
      </c>
      <c r="K82" s="525">
        <f t="shared" ref="K82:R82" si="35">(K83+K81)/2</f>
        <v>53.65</v>
      </c>
      <c r="L82" s="525">
        <f t="shared" si="35"/>
        <v>53.65</v>
      </c>
      <c r="M82" s="525">
        <f t="shared" si="35"/>
        <v>54.8</v>
      </c>
      <c r="N82" s="525">
        <f t="shared" si="35"/>
        <v>57.349999999999994</v>
      </c>
      <c r="O82" s="525">
        <f t="shared" si="35"/>
        <v>65.05</v>
      </c>
      <c r="P82" s="525">
        <f t="shared" si="35"/>
        <v>65.55</v>
      </c>
      <c r="Q82" s="525">
        <f t="shared" si="35"/>
        <v>78.05</v>
      </c>
      <c r="R82" s="525">
        <f t="shared" si="35"/>
        <v>88.5</v>
      </c>
    </row>
    <row r="83" spans="1:18" ht="11.25">
      <c r="A83" s="560"/>
      <c r="B83" s="565" t="s">
        <v>902</v>
      </c>
      <c r="C83" s="565"/>
      <c r="D83" s="562">
        <v>2.532</v>
      </c>
      <c r="E83" s="562">
        <f t="shared" si="30"/>
        <v>2.7989999999999999</v>
      </c>
      <c r="F83" s="563">
        <v>3.0659999999999998</v>
      </c>
      <c r="G83" s="562">
        <f t="shared" si="31"/>
        <v>3.3330000000000002</v>
      </c>
      <c r="H83" s="564">
        <v>3.6</v>
      </c>
      <c r="J83" s="530">
        <v>66</v>
      </c>
      <c r="K83" s="525">
        <v>54.8</v>
      </c>
      <c r="L83" s="525">
        <v>54.8</v>
      </c>
      <c r="M83" s="525">
        <v>55.9</v>
      </c>
      <c r="N83" s="525">
        <v>58.4</v>
      </c>
      <c r="O83" s="525">
        <v>69</v>
      </c>
      <c r="P83" s="525">
        <v>69.8</v>
      </c>
      <c r="Q83" s="525">
        <v>78.599999999999994</v>
      </c>
      <c r="R83" s="525">
        <v>88.8</v>
      </c>
    </row>
    <row r="84" spans="1:18" ht="11.25">
      <c r="A84" s="560"/>
      <c r="B84" s="565" t="s">
        <v>903</v>
      </c>
      <c r="C84" s="565"/>
      <c r="D84" s="565" t="s">
        <v>904</v>
      </c>
      <c r="E84" s="565"/>
      <c r="F84" s="565"/>
      <c r="G84" s="565"/>
      <c r="H84" s="572"/>
      <c r="J84" s="530">
        <v>67</v>
      </c>
      <c r="K84" s="525">
        <f t="shared" ref="K84:R84" si="36">(K85+K83)/2</f>
        <v>55.95</v>
      </c>
      <c r="L84" s="525">
        <f t="shared" si="36"/>
        <v>55.95</v>
      </c>
      <c r="M84" s="525">
        <f t="shared" si="36"/>
        <v>57.05</v>
      </c>
      <c r="N84" s="525">
        <f t="shared" si="36"/>
        <v>59.5</v>
      </c>
      <c r="O84" s="525">
        <f t="shared" si="36"/>
        <v>66.95</v>
      </c>
      <c r="P84" s="525">
        <f t="shared" si="36"/>
        <v>70.599999999999994</v>
      </c>
      <c r="Q84" s="525">
        <f t="shared" si="36"/>
        <v>79.150000000000006</v>
      </c>
      <c r="R84" s="525">
        <f t="shared" si="36"/>
        <v>89.1</v>
      </c>
    </row>
    <row r="85" spans="1:18" ht="13.5" thickBot="1">
      <c r="A85" s="573"/>
      <c r="B85" s="574"/>
      <c r="C85" s="574"/>
      <c r="D85" s="574"/>
      <c r="E85" s="574"/>
      <c r="F85" s="574"/>
      <c r="G85" s="574"/>
      <c r="H85" s="575"/>
      <c r="J85" s="530">
        <v>68</v>
      </c>
      <c r="K85" s="525">
        <v>57.1</v>
      </c>
      <c r="L85" s="525">
        <v>57.1</v>
      </c>
      <c r="M85" s="525">
        <v>58.2</v>
      </c>
      <c r="N85" s="525">
        <v>60.6</v>
      </c>
      <c r="O85" s="525">
        <v>64.900000000000006</v>
      </c>
      <c r="P85" s="525">
        <v>71.400000000000006</v>
      </c>
      <c r="Q85" s="525">
        <v>79.7</v>
      </c>
      <c r="R85" s="525">
        <v>89.4</v>
      </c>
    </row>
    <row r="86" spans="1:18" ht="11.25" customHeight="1">
      <c r="A86" s="1224" t="s">
        <v>905</v>
      </c>
      <c r="B86" s="576" t="s">
        <v>906</v>
      </c>
      <c r="C86" s="576"/>
      <c r="D86" s="557">
        <v>0.06</v>
      </c>
      <c r="E86" s="557">
        <f>(F86+D86)/2</f>
        <v>0.09</v>
      </c>
      <c r="F86" s="557">
        <v>0.12</v>
      </c>
      <c r="G86" s="557">
        <f>(H86+F86)/2</f>
        <v>0.15</v>
      </c>
      <c r="H86" s="559">
        <v>0.18</v>
      </c>
      <c r="I86" s="577"/>
      <c r="J86" s="530">
        <v>69</v>
      </c>
      <c r="K86" s="525">
        <f t="shared" ref="K86:R86" si="37">(K87+K85)/2</f>
        <v>58.3</v>
      </c>
      <c r="L86" s="525">
        <f t="shared" si="37"/>
        <v>58.3</v>
      </c>
      <c r="M86" s="525">
        <f t="shared" si="37"/>
        <v>59.35</v>
      </c>
      <c r="N86" s="525">
        <f t="shared" si="37"/>
        <v>61.7</v>
      </c>
      <c r="O86" s="525">
        <f t="shared" si="37"/>
        <v>65.849999999999994</v>
      </c>
      <c r="P86" s="525">
        <f t="shared" si="37"/>
        <v>72.150000000000006</v>
      </c>
      <c r="Q86" s="525">
        <f t="shared" si="37"/>
        <v>80.25</v>
      </c>
      <c r="R86" s="525">
        <f t="shared" si="37"/>
        <v>90.15</v>
      </c>
    </row>
    <row r="87" spans="1:18" ht="12.75">
      <c r="A87" s="1225"/>
      <c r="B87" s="521" t="s">
        <v>907</v>
      </c>
      <c r="D87" s="562">
        <v>0.192</v>
      </c>
      <c r="E87" s="562">
        <f>(F87+D87)/2</f>
        <v>0.219</v>
      </c>
      <c r="F87" s="562">
        <v>0.246</v>
      </c>
      <c r="G87" s="562">
        <f>(H87+F87)/2</f>
        <v>0.27300000000000002</v>
      </c>
      <c r="H87" s="564">
        <v>0.3</v>
      </c>
      <c r="I87" s="577"/>
      <c r="J87" s="530">
        <v>70</v>
      </c>
      <c r="K87" s="525">
        <v>59.5</v>
      </c>
      <c r="L87" s="525">
        <v>59.5</v>
      </c>
      <c r="M87" s="525">
        <v>60.5</v>
      </c>
      <c r="N87" s="525">
        <v>62.8</v>
      </c>
      <c r="O87" s="525">
        <v>66.8</v>
      </c>
      <c r="P87" s="525">
        <v>72.900000000000006</v>
      </c>
      <c r="Q87" s="525">
        <v>80.8</v>
      </c>
      <c r="R87" s="525">
        <v>90.9</v>
      </c>
    </row>
    <row r="88" spans="1:18" ht="13.5" thickBot="1">
      <c r="A88" s="1226"/>
      <c r="B88" s="578" t="s">
        <v>908</v>
      </c>
      <c r="C88" s="578"/>
      <c r="D88" s="579">
        <v>0.312</v>
      </c>
      <c r="E88" s="579">
        <f>(F88+D88)/2</f>
        <v>0.38400000000000001</v>
      </c>
      <c r="F88" s="579">
        <v>0.45600000000000002</v>
      </c>
      <c r="G88" s="579">
        <f>(H88+F88)/2</f>
        <v>0.52800000000000002</v>
      </c>
      <c r="H88" s="580">
        <v>0.6</v>
      </c>
      <c r="I88" s="577"/>
      <c r="J88" s="530">
        <v>71</v>
      </c>
      <c r="K88" s="525">
        <f t="shared" ref="K88:R88" si="38">(K89+K87)/2</f>
        <v>60.85</v>
      </c>
      <c r="L88" s="525">
        <f t="shared" si="38"/>
        <v>60.7</v>
      </c>
      <c r="M88" s="525">
        <f t="shared" si="38"/>
        <v>61.7</v>
      </c>
      <c r="N88" s="525">
        <f t="shared" si="38"/>
        <v>73.900000000000006</v>
      </c>
      <c r="O88" s="525">
        <f t="shared" si="38"/>
        <v>67.8</v>
      </c>
      <c r="P88" s="525">
        <f t="shared" si="38"/>
        <v>73.75</v>
      </c>
      <c r="Q88" s="525">
        <f t="shared" si="38"/>
        <v>81.349999999999994</v>
      </c>
      <c r="R88" s="525">
        <f t="shared" si="38"/>
        <v>90.75</v>
      </c>
    </row>
    <row r="89" spans="1:18" ht="11.25">
      <c r="J89" s="530">
        <v>72</v>
      </c>
      <c r="K89" s="525">
        <v>62.2</v>
      </c>
      <c r="L89" s="525">
        <v>61.9</v>
      </c>
      <c r="M89" s="525">
        <v>62.9</v>
      </c>
      <c r="N89" s="525">
        <v>85</v>
      </c>
      <c r="O89" s="525">
        <v>68.8</v>
      </c>
      <c r="P89" s="525">
        <v>74.599999999999994</v>
      </c>
      <c r="Q89" s="525">
        <v>81.900000000000006</v>
      </c>
      <c r="R89" s="525">
        <v>90.6</v>
      </c>
    </row>
    <row r="90" spans="1:18" ht="12.75">
      <c r="A90" s="1221" t="s">
        <v>909</v>
      </c>
      <c r="B90" s="1221"/>
      <c r="C90" s="1221"/>
      <c r="D90" s="1221"/>
      <c r="E90" s="1221"/>
      <c r="F90" s="1221"/>
      <c r="G90" s="1221"/>
      <c r="H90" s="1221"/>
      <c r="J90" s="530">
        <v>73</v>
      </c>
      <c r="K90" s="525">
        <f t="shared" ref="K90:R90" si="39">(K91+K89)/2</f>
        <v>63.300000000000004</v>
      </c>
      <c r="L90" s="525">
        <f t="shared" si="39"/>
        <v>63.150000000000006</v>
      </c>
      <c r="M90" s="525">
        <f t="shared" si="39"/>
        <v>64.099999999999994</v>
      </c>
      <c r="N90" s="525">
        <f t="shared" si="39"/>
        <v>76.150000000000006</v>
      </c>
      <c r="O90" s="525">
        <f t="shared" si="39"/>
        <v>69.8</v>
      </c>
      <c r="P90" s="525">
        <f t="shared" si="39"/>
        <v>75.400000000000006</v>
      </c>
      <c r="Q90" s="525">
        <f t="shared" si="39"/>
        <v>82.5</v>
      </c>
      <c r="R90" s="525">
        <f t="shared" si="39"/>
        <v>90.9</v>
      </c>
    </row>
    <row r="91" spans="1:18" ht="12" thickBot="1">
      <c r="J91" s="530">
        <v>74</v>
      </c>
      <c r="K91" s="525">
        <v>64.400000000000006</v>
      </c>
      <c r="L91" s="525">
        <v>64.400000000000006</v>
      </c>
      <c r="M91" s="525">
        <v>65.3</v>
      </c>
      <c r="N91" s="525">
        <v>67.3</v>
      </c>
      <c r="O91" s="525">
        <v>70.8</v>
      </c>
      <c r="P91" s="525">
        <v>76.2</v>
      </c>
      <c r="Q91" s="525">
        <v>83.1</v>
      </c>
      <c r="R91" s="525">
        <v>91.2</v>
      </c>
    </row>
    <row r="92" spans="1:18" ht="11.25">
      <c r="A92" s="1230" t="s">
        <v>910</v>
      </c>
      <c r="B92" s="1230" t="s">
        <v>911</v>
      </c>
      <c r="C92" s="1232" t="s">
        <v>912</v>
      </c>
      <c r="D92" s="1233"/>
      <c r="E92" s="1236" t="s">
        <v>913</v>
      </c>
      <c r="F92" s="1237"/>
      <c r="G92" s="1238" t="s">
        <v>914</v>
      </c>
      <c r="H92" s="1237"/>
      <c r="J92" s="530">
        <v>75</v>
      </c>
      <c r="K92" s="525">
        <f t="shared" ref="K92:R92" si="40">(K93+K91)/2</f>
        <v>65.650000000000006</v>
      </c>
      <c r="L92" s="525">
        <f t="shared" si="40"/>
        <v>65.650000000000006</v>
      </c>
      <c r="M92" s="525">
        <f t="shared" si="40"/>
        <v>66.5</v>
      </c>
      <c r="N92" s="525">
        <f t="shared" si="40"/>
        <v>68.449999999999989</v>
      </c>
      <c r="O92" s="525">
        <f t="shared" si="40"/>
        <v>71.849999999999994</v>
      </c>
      <c r="P92" s="525">
        <f t="shared" si="40"/>
        <v>77.050000000000011</v>
      </c>
      <c r="Q92" s="525">
        <f t="shared" si="40"/>
        <v>83.699999999999989</v>
      </c>
      <c r="R92" s="525">
        <f t="shared" si="40"/>
        <v>91.5</v>
      </c>
    </row>
    <row r="93" spans="1:18" ht="12" thickBot="1">
      <c r="A93" s="1231"/>
      <c r="B93" s="1231"/>
      <c r="C93" s="1234"/>
      <c r="D93" s="1235"/>
      <c r="E93" s="1239" t="s">
        <v>915</v>
      </c>
      <c r="F93" s="1240"/>
      <c r="G93" s="1241" t="s">
        <v>916</v>
      </c>
      <c r="H93" s="1240"/>
      <c r="J93" s="530">
        <v>76</v>
      </c>
      <c r="K93" s="525">
        <v>66.900000000000006</v>
      </c>
      <c r="L93" s="525">
        <v>66.900000000000006</v>
      </c>
      <c r="M93" s="525">
        <v>67.7</v>
      </c>
      <c r="N93" s="525">
        <v>69.599999999999994</v>
      </c>
      <c r="O93" s="525">
        <v>72.900000000000006</v>
      </c>
      <c r="P93" s="525">
        <v>77.900000000000006</v>
      </c>
      <c r="Q93" s="525">
        <v>84.3</v>
      </c>
      <c r="R93" s="525">
        <v>91.8</v>
      </c>
    </row>
    <row r="94" spans="1:18" ht="11.25">
      <c r="A94" s="1245" t="s">
        <v>917</v>
      </c>
      <c r="B94" s="1245" t="s">
        <v>918</v>
      </c>
      <c r="C94" s="1248" t="s">
        <v>919</v>
      </c>
      <c r="D94" s="1249"/>
      <c r="E94" s="1248">
        <v>60</v>
      </c>
      <c r="F94" s="1249"/>
      <c r="G94" s="1250">
        <v>20</v>
      </c>
      <c r="H94" s="1249"/>
      <c r="J94" s="530">
        <v>77</v>
      </c>
      <c r="K94" s="525">
        <f t="shared" ref="K94:R94" si="41">(K95+K93)/2</f>
        <v>68.150000000000006</v>
      </c>
      <c r="L94" s="525">
        <f t="shared" si="41"/>
        <v>68.150000000000006</v>
      </c>
      <c r="M94" s="525">
        <f t="shared" si="41"/>
        <v>69.95</v>
      </c>
      <c r="N94" s="525">
        <f t="shared" si="41"/>
        <v>70.75</v>
      </c>
      <c r="O94" s="525">
        <f t="shared" si="41"/>
        <v>73.900000000000006</v>
      </c>
      <c r="P94" s="525">
        <f t="shared" si="41"/>
        <v>83.75</v>
      </c>
      <c r="Q94" s="525">
        <f t="shared" si="41"/>
        <v>84.9</v>
      </c>
      <c r="R94" s="525">
        <f t="shared" si="41"/>
        <v>92.1</v>
      </c>
    </row>
    <row r="95" spans="1:18" ht="11.25">
      <c r="A95" s="1246"/>
      <c r="B95" s="1246"/>
      <c r="C95" s="1227" t="s">
        <v>920</v>
      </c>
      <c r="D95" s="1228"/>
      <c r="E95" s="1227">
        <v>60</v>
      </c>
      <c r="F95" s="1228"/>
      <c r="G95" s="1229">
        <v>20</v>
      </c>
      <c r="H95" s="1228"/>
      <c r="J95" s="530">
        <v>78</v>
      </c>
      <c r="K95" s="525">
        <v>69.400000000000006</v>
      </c>
      <c r="L95" s="525">
        <v>69.400000000000006</v>
      </c>
      <c r="M95" s="525">
        <v>72.2</v>
      </c>
      <c r="N95" s="525">
        <v>71.900000000000006</v>
      </c>
      <c r="O95" s="525">
        <v>74.900000000000006</v>
      </c>
      <c r="P95" s="525">
        <v>89.6</v>
      </c>
      <c r="Q95" s="525">
        <v>85.5</v>
      </c>
      <c r="R95" s="525">
        <v>92.4</v>
      </c>
    </row>
    <row r="96" spans="1:18" ht="11.25">
      <c r="A96" s="1246"/>
      <c r="B96" s="1246"/>
      <c r="C96" s="1227" t="s">
        <v>921</v>
      </c>
      <c r="D96" s="1228"/>
      <c r="E96" s="1227">
        <v>60</v>
      </c>
      <c r="F96" s="1228"/>
      <c r="G96" s="1229">
        <v>20</v>
      </c>
      <c r="H96" s="1228"/>
      <c r="J96" s="530">
        <v>79</v>
      </c>
      <c r="K96" s="525">
        <f t="shared" ref="K96:R96" si="42">(K97+K95)/2</f>
        <v>70.7</v>
      </c>
      <c r="L96" s="525">
        <f t="shared" si="42"/>
        <v>70.7</v>
      </c>
      <c r="M96" s="525">
        <f t="shared" si="42"/>
        <v>72.45</v>
      </c>
      <c r="N96" s="525">
        <f t="shared" si="42"/>
        <v>73.099999999999994</v>
      </c>
      <c r="O96" s="525">
        <f t="shared" si="42"/>
        <v>76</v>
      </c>
      <c r="P96" s="525">
        <f t="shared" si="42"/>
        <v>85.449999999999989</v>
      </c>
      <c r="Q96" s="525">
        <f t="shared" si="42"/>
        <v>86.1</v>
      </c>
      <c r="R96" s="525">
        <f t="shared" si="42"/>
        <v>92.75</v>
      </c>
    </row>
    <row r="97" spans="1:18" ht="11.25">
      <c r="A97" s="1246"/>
      <c r="B97" s="1246"/>
      <c r="C97" s="1227" t="s">
        <v>922</v>
      </c>
      <c r="D97" s="1228"/>
      <c r="E97" s="1227">
        <v>60</v>
      </c>
      <c r="F97" s="1228"/>
      <c r="G97" s="1229">
        <v>20</v>
      </c>
      <c r="H97" s="1228"/>
      <c r="J97" s="530">
        <v>80</v>
      </c>
      <c r="K97" s="525">
        <v>72</v>
      </c>
      <c r="L97" s="525">
        <v>72</v>
      </c>
      <c r="M97" s="525">
        <v>72.7</v>
      </c>
      <c r="N97" s="525">
        <v>74.3</v>
      </c>
      <c r="O97" s="525">
        <v>77.099999999999994</v>
      </c>
      <c r="P97" s="525">
        <v>81.3</v>
      </c>
      <c r="Q97" s="525">
        <v>86.7</v>
      </c>
      <c r="R97" s="525">
        <v>93.1</v>
      </c>
    </row>
    <row r="98" spans="1:18" ht="11.25">
      <c r="A98" s="1246"/>
      <c r="B98" s="1246"/>
      <c r="C98" s="1227" t="s">
        <v>923</v>
      </c>
      <c r="D98" s="1228"/>
      <c r="E98" s="1227">
        <v>50</v>
      </c>
      <c r="F98" s="1228"/>
      <c r="G98" s="1229">
        <v>20</v>
      </c>
      <c r="H98" s="1228"/>
      <c r="J98" s="530">
        <v>81</v>
      </c>
      <c r="K98" s="525">
        <f t="shared" ref="K98:R98" si="43">(K99+K97)/2</f>
        <v>73.3</v>
      </c>
      <c r="L98" s="525">
        <f t="shared" si="43"/>
        <v>73.3</v>
      </c>
      <c r="M98" s="525">
        <f t="shared" si="43"/>
        <v>74</v>
      </c>
      <c r="N98" s="525">
        <f t="shared" si="43"/>
        <v>75.5</v>
      </c>
      <c r="O98" s="525">
        <f t="shared" si="43"/>
        <v>78.150000000000006</v>
      </c>
      <c r="P98" s="525">
        <f t="shared" si="43"/>
        <v>82.15</v>
      </c>
      <c r="Q98" s="525">
        <f t="shared" si="43"/>
        <v>87.35</v>
      </c>
      <c r="R98" s="525">
        <f t="shared" si="43"/>
        <v>93.4</v>
      </c>
    </row>
    <row r="99" spans="1:18" ht="12" thickBot="1">
      <c r="A99" s="1247"/>
      <c r="B99" s="1247"/>
      <c r="C99" s="1242" t="s">
        <v>924</v>
      </c>
      <c r="D99" s="1243"/>
      <c r="E99" s="1242">
        <v>50</v>
      </c>
      <c r="F99" s="1243"/>
      <c r="G99" s="1244">
        <v>20</v>
      </c>
      <c r="H99" s="1243"/>
      <c r="J99" s="530">
        <v>82</v>
      </c>
      <c r="K99" s="525">
        <v>74.599999999999994</v>
      </c>
      <c r="L99" s="525">
        <v>74.599999999999994</v>
      </c>
      <c r="M99" s="525">
        <v>75.3</v>
      </c>
      <c r="N99" s="525">
        <v>76.7</v>
      </c>
      <c r="O99" s="525">
        <v>79.2</v>
      </c>
      <c r="P99" s="525">
        <v>83</v>
      </c>
      <c r="Q99" s="525">
        <v>88</v>
      </c>
      <c r="R99" s="525">
        <v>93.7</v>
      </c>
    </row>
    <row r="100" spans="1:18" ht="11.25">
      <c r="A100" s="1245" t="s">
        <v>925</v>
      </c>
      <c r="B100" s="1245" t="s">
        <v>926</v>
      </c>
      <c r="C100" s="1248" t="s">
        <v>919</v>
      </c>
      <c r="D100" s="1249"/>
      <c r="E100" s="1248">
        <v>70</v>
      </c>
      <c r="F100" s="1249"/>
      <c r="G100" s="1250">
        <v>20</v>
      </c>
      <c r="H100" s="1249"/>
      <c r="J100" s="530">
        <v>83</v>
      </c>
      <c r="K100" s="525">
        <f t="shared" ref="K100:R100" si="44">(K101+K99)/2</f>
        <v>75.949999999999989</v>
      </c>
      <c r="L100" s="525">
        <f t="shared" si="44"/>
        <v>75.949999999999989</v>
      </c>
      <c r="M100" s="525">
        <f t="shared" si="44"/>
        <v>76.55</v>
      </c>
      <c r="N100" s="525">
        <f t="shared" si="44"/>
        <v>77.900000000000006</v>
      </c>
      <c r="O100" s="525">
        <f t="shared" si="44"/>
        <v>80.300000000000011</v>
      </c>
      <c r="P100" s="525">
        <f t="shared" si="44"/>
        <v>83.9</v>
      </c>
      <c r="Q100" s="525">
        <f t="shared" si="44"/>
        <v>88.6</v>
      </c>
      <c r="R100" s="525">
        <f t="shared" si="44"/>
        <v>94.050000000000011</v>
      </c>
    </row>
    <row r="101" spans="1:18" ht="11.25">
      <c r="A101" s="1246"/>
      <c r="B101" s="1246"/>
      <c r="C101" s="1227" t="s">
        <v>920</v>
      </c>
      <c r="D101" s="1228"/>
      <c r="E101" s="1227">
        <v>70</v>
      </c>
      <c r="F101" s="1228"/>
      <c r="G101" s="1229">
        <v>20</v>
      </c>
      <c r="H101" s="1228"/>
      <c r="J101" s="530">
        <v>84</v>
      </c>
      <c r="K101" s="525">
        <v>77.3</v>
      </c>
      <c r="L101" s="525">
        <v>77.3</v>
      </c>
      <c r="M101" s="525">
        <v>77.8</v>
      </c>
      <c r="N101" s="525">
        <v>79.099999999999994</v>
      </c>
      <c r="O101" s="525">
        <v>81.400000000000006</v>
      </c>
      <c r="P101" s="525">
        <v>84.8</v>
      </c>
      <c r="Q101" s="525">
        <v>89.2</v>
      </c>
      <c r="R101" s="525">
        <v>94.4</v>
      </c>
    </row>
    <row r="102" spans="1:18" ht="11.25">
      <c r="A102" s="1246"/>
      <c r="B102" s="1246"/>
      <c r="C102" s="1227" t="s">
        <v>921</v>
      </c>
      <c r="D102" s="1228"/>
      <c r="E102" s="1227">
        <v>60</v>
      </c>
      <c r="F102" s="1228"/>
      <c r="G102" s="1229">
        <v>20</v>
      </c>
      <c r="H102" s="1228"/>
      <c r="J102" s="530">
        <v>85</v>
      </c>
      <c r="K102" s="525">
        <f t="shared" ref="K102:R102" si="45">(K103+K101)/2</f>
        <v>78.650000000000006</v>
      </c>
      <c r="L102" s="525">
        <f t="shared" si="45"/>
        <v>78.650000000000006</v>
      </c>
      <c r="M102" s="525">
        <f t="shared" si="45"/>
        <v>79.150000000000006</v>
      </c>
      <c r="N102" s="525">
        <f t="shared" si="45"/>
        <v>80.349999999999994</v>
      </c>
      <c r="O102" s="525">
        <f t="shared" si="45"/>
        <v>82.5</v>
      </c>
      <c r="P102" s="525">
        <f t="shared" si="45"/>
        <v>85.699999999999989</v>
      </c>
      <c r="Q102" s="525">
        <f t="shared" si="45"/>
        <v>89.85</v>
      </c>
      <c r="R102" s="525">
        <f t="shared" si="45"/>
        <v>94.7</v>
      </c>
    </row>
    <row r="103" spans="1:18" ht="11.25">
      <c r="A103" s="1246"/>
      <c r="B103" s="1246"/>
      <c r="C103" s="1227" t="s">
        <v>922</v>
      </c>
      <c r="D103" s="1228"/>
      <c r="E103" s="1227">
        <v>60</v>
      </c>
      <c r="F103" s="1228"/>
      <c r="G103" s="1229">
        <v>20</v>
      </c>
      <c r="H103" s="1228"/>
      <c r="J103" s="530">
        <v>86</v>
      </c>
      <c r="K103" s="525">
        <v>80</v>
      </c>
      <c r="L103" s="525">
        <v>80</v>
      </c>
      <c r="M103" s="525">
        <v>80.5</v>
      </c>
      <c r="N103" s="525">
        <v>81.599999999999994</v>
      </c>
      <c r="O103" s="525">
        <v>83.6</v>
      </c>
      <c r="P103" s="525">
        <v>86.6</v>
      </c>
      <c r="Q103" s="525">
        <v>90.5</v>
      </c>
      <c r="R103" s="525">
        <v>95</v>
      </c>
    </row>
    <row r="104" spans="1:18" ht="11.25">
      <c r="A104" s="1246"/>
      <c r="B104" s="1246"/>
      <c r="C104" s="1227" t="s">
        <v>923</v>
      </c>
      <c r="D104" s="1228"/>
      <c r="E104" s="1227">
        <v>50</v>
      </c>
      <c r="F104" s="1228"/>
      <c r="G104" s="1229">
        <v>20</v>
      </c>
      <c r="H104" s="1228"/>
      <c r="J104" s="530">
        <v>87</v>
      </c>
      <c r="K104" s="525">
        <f t="shared" ref="K104:R104" si="46">(K105+K103)/2</f>
        <v>81.349999999999994</v>
      </c>
      <c r="L104" s="525">
        <f t="shared" si="46"/>
        <v>81.349999999999994</v>
      </c>
      <c r="M104" s="525">
        <f t="shared" si="46"/>
        <v>81.849999999999994</v>
      </c>
      <c r="N104" s="525">
        <f t="shared" si="46"/>
        <v>82.85</v>
      </c>
      <c r="O104" s="525">
        <f t="shared" si="46"/>
        <v>84.699999999999989</v>
      </c>
      <c r="P104" s="525">
        <f t="shared" si="46"/>
        <v>87.55</v>
      </c>
      <c r="Q104" s="525">
        <f t="shared" si="46"/>
        <v>91.15</v>
      </c>
      <c r="R104" s="525">
        <f t="shared" si="46"/>
        <v>95.35</v>
      </c>
    </row>
    <row r="105" spans="1:18" ht="12" thickBot="1">
      <c r="A105" s="1247"/>
      <c r="B105" s="1247"/>
      <c r="C105" s="1242" t="s">
        <v>924</v>
      </c>
      <c r="D105" s="1243"/>
      <c r="E105" s="1242">
        <v>50</v>
      </c>
      <c r="F105" s="1243"/>
      <c r="G105" s="1244">
        <v>20</v>
      </c>
      <c r="H105" s="1243"/>
      <c r="J105" s="530">
        <v>88</v>
      </c>
      <c r="K105" s="525">
        <v>82.7</v>
      </c>
      <c r="L105" s="525">
        <v>82.7</v>
      </c>
      <c r="M105" s="525">
        <v>83.2</v>
      </c>
      <c r="N105" s="525">
        <v>84.1</v>
      </c>
      <c r="O105" s="525">
        <v>85.8</v>
      </c>
      <c r="P105" s="525">
        <v>88.5</v>
      </c>
      <c r="Q105" s="525">
        <v>91.8</v>
      </c>
      <c r="R105" s="525">
        <v>95.7</v>
      </c>
    </row>
    <row r="106" spans="1:18" ht="12" thickBot="1">
      <c r="C106" s="525"/>
      <c r="D106" s="525"/>
      <c r="J106" s="530">
        <v>89</v>
      </c>
      <c r="K106" s="525">
        <f t="shared" ref="K106:R106" si="47">(K107+K105)/2</f>
        <v>84.1</v>
      </c>
      <c r="L106" s="525">
        <f t="shared" si="47"/>
        <v>84.1</v>
      </c>
      <c r="M106" s="525">
        <f t="shared" si="47"/>
        <v>84.550000000000011</v>
      </c>
      <c r="N106" s="525">
        <f t="shared" si="47"/>
        <v>85.4</v>
      </c>
      <c r="O106" s="525">
        <f t="shared" si="47"/>
        <v>86.949999999999989</v>
      </c>
      <c r="P106" s="525">
        <f t="shared" si="47"/>
        <v>89.4</v>
      </c>
      <c r="Q106" s="525">
        <f t="shared" si="47"/>
        <v>92.449999999999989</v>
      </c>
      <c r="R106" s="525">
        <f t="shared" si="47"/>
        <v>96.050000000000011</v>
      </c>
    </row>
    <row r="107" spans="1:18" ht="12" thickBot="1">
      <c r="B107" s="581" t="s">
        <v>912</v>
      </c>
      <c r="C107" s="582" t="s">
        <v>913</v>
      </c>
      <c r="D107" s="525"/>
      <c r="J107" s="530">
        <v>90</v>
      </c>
      <c r="K107" s="525">
        <v>85.5</v>
      </c>
      <c r="L107" s="525">
        <v>85.5</v>
      </c>
      <c r="M107" s="525">
        <v>85.9</v>
      </c>
      <c r="N107" s="525">
        <v>86.7</v>
      </c>
      <c r="O107" s="525">
        <v>88.1</v>
      </c>
      <c r="P107" s="525">
        <v>90.3</v>
      </c>
      <c r="Q107" s="525">
        <v>93.1</v>
      </c>
      <c r="R107" s="525">
        <v>96.4</v>
      </c>
    </row>
    <row r="108" spans="1:18" ht="12" thickBot="1">
      <c r="B108" s="583" t="s">
        <v>927</v>
      </c>
      <c r="C108" s="584">
        <v>60</v>
      </c>
      <c r="D108" s="525"/>
      <c r="J108" s="530">
        <v>91</v>
      </c>
      <c r="K108" s="525">
        <f t="shared" ref="K108:R108" si="48">(K109+K107)/2</f>
        <v>75.900000000000006</v>
      </c>
      <c r="L108" s="525">
        <f t="shared" si="48"/>
        <v>74.400000000000006</v>
      </c>
      <c r="M108" s="525">
        <f t="shared" si="48"/>
        <v>87.25</v>
      </c>
      <c r="N108" s="525">
        <f t="shared" si="48"/>
        <v>88</v>
      </c>
      <c r="O108" s="525">
        <f t="shared" si="48"/>
        <v>89.25</v>
      </c>
      <c r="P108" s="525">
        <f t="shared" si="48"/>
        <v>91.25</v>
      </c>
      <c r="Q108" s="525">
        <f t="shared" si="48"/>
        <v>93.8</v>
      </c>
      <c r="R108" s="525">
        <f t="shared" si="48"/>
        <v>96.75</v>
      </c>
    </row>
    <row r="109" spans="1:18" ht="13.5" thickBot="1">
      <c r="B109" s="583" t="s">
        <v>928</v>
      </c>
      <c r="C109" s="584">
        <v>50</v>
      </c>
      <c r="D109" s="525"/>
      <c r="F109" s="585" t="s">
        <v>929</v>
      </c>
      <c r="G109" s="586"/>
      <c r="J109" s="530">
        <v>92</v>
      </c>
      <c r="K109" s="525">
        <v>66.3</v>
      </c>
      <c r="L109" s="525">
        <v>63.3</v>
      </c>
      <c r="M109" s="525">
        <v>88.6</v>
      </c>
      <c r="N109" s="525">
        <v>89.3</v>
      </c>
      <c r="O109" s="525">
        <v>90.4</v>
      </c>
      <c r="P109" s="525">
        <v>92.2</v>
      </c>
      <c r="Q109" s="525">
        <v>94.5</v>
      </c>
      <c r="R109" s="525">
        <v>97.1</v>
      </c>
    </row>
    <row r="110" spans="1:18" ht="13.5" thickBot="1">
      <c r="B110" s="583" t="s">
        <v>930</v>
      </c>
      <c r="C110" s="584">
        <v>50</v>
      </c>
      <c r="D110" s="525"/>
      <c r="F110" s="587" t="s">
        <v>931</v>
      </c>
      <c r="G110" s="586"/>
      <c r="J110" s="530">
        <v>93</v>
      </c>
      <c r="K110" s="525">
        <f t="shared" ref="K110:R110" si="49">(K111+K109)/2</f>
        <v>78.75</v>
      </c>
      <c r="L110" s="525">
        <f t="shared" si="49"/>
        <v>77.25</v>
      </c>
      <c r="M110" s="525">
        <f t="shared" si="49"/>
        <v>90</v>
      </c>
      <c r="N110" s="525">
        <f t="shared" si="49"/>
        <v>90.6</v>
      </c>
      <c r="O110" s="525">
        <f t="shared" si="49"/>
        <v>91.6</v>
      </c>
      <c r="P110" s="525">
        <f t="shared" si="49"/>
        <v>93.15</v>
      </c>
      <c r="Q110" s="525">
        <f t="shared" si="49"/>
        <v>95.15</v>
      </c>
      <c r="R110" s="525">
        <f t="shared" si="49"/>
        <v>97.449999999999989</v>
      </c>
    </row>
    <row r="111" spans="1:18" ht="12" thickBot="1">
      <c r="B111" s="583" t="s">
        <v>4</v>
      </c>
      <c r="C111" s="584">
        <v>60</v>
      </c>
      <c r="D111" s="525"/>
      <c r="J111" s="530">
        <v>94</v>
      </c>
      <c r="K111" s="525">
        <v>91.2</v>
      </c>
      <c r="L111" s="525">
        <v>91.2</v>
      </c>
      <c r="M111" s="525">
        <v>91.4</v>
      </c>
      <c r="N111" s="525">
        <v>91.9</v>
      </c>
      <c r="O111" s="525">
        <v>92.8</v>
      </c>
      <c r="P111" s="525">
        <v>94.1</v>
      </c>
      <c r="Q111" s="525">
        <v>95.8</v>
      </c>
      <c r="R111" s="525">
        <v>97.8</v>
      </c>
    </row>
    <row r="112" spans="1:18" ht="12" thickBot="1">
      <c r="B112" s="583" t="s">
        <v>932</v>
      </c>
      <c r="C112" s="584">
        <v>60</v>
      </c>
      <c r="D112" s="525"/>
      <c r="J112" s="530">
        <v>95</v>
      </c>
      <c r="K112" s="525">
        <f t="shared" ref="K112:R112" si="50">(K113+K111)/2</f>
        <v>92.65</v>
      </c>
      <c r="L112" s="525">
        <f t="shared" si="50"/>
        <v>92.65</v>
      </c>
      <c r="M112" s="525">
        <f t="shared" si="50"/>
        <v>92.800000000000011</v>
      </c>
      <c r="N112" s="525">
        <f t="shared" si="50"/>
        <v>93.25</v>
      </c>
      <c r="O112" s="525">
        <f t="shared" si="50"/>
        <v>93.949999999999989</v>
      </c>
      <c r="P112" s="525">
        <f t="shared" si="50"/>
        <v>95.05</v>
      </c>
      <c r="Q112" s="525">
        <f t="shared" si="50"/>
        <v>96.5</v>
      </c>
      <c r="R112" s="525">
        <f t="shared" si="50"/>
        <v>98.15</v>
      </c>
    </row>
    <row r="113" spans="2:20" ht="12" thickBot="1">
      <c r="B113" s="583" t="s">
        <v>933</v>
      </c>
      <c r="C113" s="584">
        <v>60</v>
      </c>
      <c r="D113" s="525"/>
      <c r="J113" s="530">
        <v>96</v>
      </c>
      <c r="K113" s="525">
        <v>94.1</v>
      </c>
      <c r="L113" s="525">
        <v>94.1</v>
      </c>
      <c r="M113" s="525">
        <v>94.2</v>
      </c>
      <c r="N113" s="525">
        <v>94.6</v>
      </c>
      <c r="O113" s="525">
        <v>95.1</v>
      </c>
      <c r="P113" s="525">
        <v>96</v>
      </c>
      <c r="Q113" s="525">
        <v>97.2</v>
      </c>
      <c r="R113" s="525">
        <v>98.5</v>
      </c>
    </row>
    <row r="114" spans="2:20" ht="11.25">
      <c r="C114" s="525"/>
      <c r="D114" s="525"/>
      <c r="J114" s="530">
        <v>97</v>
      </c>
      <c r="K114" s="525">
        <f t="shared" ref="K114:R114" si="51">(K115+K113)/2</f>
        <v>95.55</v>
      </c>
      <c r="L114" s="525">
        <f t="shared" si="51"/>
        <v>95.55</v>
      </c>
      <c r="M114" s="525">
        <f t="shared" si="51"/>
        <v>95.65</v>
      </c>
      <c r="N114" s="525">
        <f t="shared" si="51"/>
        <v>95.949999999999989</v>
      </c>
      <c r="O114" s="525">
        <f t="shared" si="51"/>
        <v>96.35</v>
      </c>
      <c r="P114" s="525">
        <f t="shared" si="51"/>
        <v>97</v>
      </c>
      <c r="Q114" s="525">
        <f t="shared" si="51"/>
        <v>97.6</v>
      </c>
      <c r="R114" s="525">
        <f t="shared" si="51"/>
        <v>99.15</v>
      </c>
    </row>
    <row r="115" spans="2:20" ht="11.25">
      <c r="J115" s="530">
        <v>98</v>
      </c>
      <c r="K115" s="525">
        <v>97</v>
      </c>
      <c r="L115" s="525">
        <v>97</v>
      </c>
      <c r="M115" s="525">
        <v>97.1</v>
      </c>
      <c r="N115" s="525">
        <v>97.3</v>
      </c>
      <c r="O115" s="525">
        <v>97.6</v>
      </c>
      <c r="P115" s="525">
        <v>98</v>
      </c>
      <c r="Q115" s="525">
        <v>98</v>
      </c>
      <c r="R115" s="525">
        <v>99.8</v>
      </c>
    </row>
    <row r="116" spans="2:20" ht="11.25">
      <c r="J116" s="530">
        <v>99</v>
      </c>
      <c r="K116" s="525">
        <f t="shared" ref="K116:R116" si="52">(K117+K115)/2</f>
        <v>98.5</v>
      </c>
      <c r="L116" s="525">
        <f t="shared" si="52"/>
        <v>98.5</v>
      </c>
      <c r="M116" s="525">
        <f t="shared" si="52"/>
        <v>98.55</v>
      </c>
      <c r="N116" s="525">
        <f t="shared" si="52"/>
        <v>98.65</v>
      </c>
      <c r="O116" s="525">
        <f t="shared" si="52"/>
        <v>98.8</v>
      </c>
      <c r="P116" s="525">
        <f t="shared" si="52"/>
        <v>99</v>
      </c>
      <c r="Q116" s="525">
        <f t="shared" si="52"/>
        <v>99</v>
      </c>
      <c r="R116" s="525">
        <f t="shared" si="52"/>
        <v>99.9</v>
      </c>
    </row>
    <row r="117" spans="2:20" ht="11.25">
      <c r="J117" s="530">
        <v>100</v>
      </c>
      <c r="K117" s="525">
        <v>100</v>
      </c>
      <c r="L117" s="525">
        <v>100</v>
      </c>
      <c r="M117" s="525">
        <v>100</v>
      </c>
      <c r="N117" s="525">
        <v>100</v>
      </c>
      <c r="O117" s="525">
        <v>100</v>
      </c>
      <c r="P117" s="525">
        <v>100</v>
      </c>
      <c r="Q117" s="525">
        <v>100</v>
      </c>
      <c r="R117" s="525">
        <v>100</v>
      </c>
    </row>
    <row r="118" spans="2:20" ht="11.25">
      <c r="T118" s="522"/>
    </row>
    <row r="119" spans="2:20" ht="11.25"/>
    <row r="120" spans="2:20" ht="11.25"/>
    <row r="121" spans="2:20" ht="11.25"/>
    <row r="122" spans="2:20" ht="11.25"/>
    <row r="123" spans="2:20" ht="11.25"/>
    <row r="124" spans="2:20" ht="11.25"/>
    <row r="125" spans="2:20" ht="11.25"/>
    <row r="126" spans="2:20" ht="11.25"/>
    <row r="127" spans="2:20" ht="11.25"/>
    <row r="128" spans="2:20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</sheetData>
  <mergeCells count="53">
    <mergeCell ref="C104:D104"/>
    <mergeCell ref="E104:F104"/>
    <mergeCell ref="G104:H104"/>
    <mergeCell ref="C105:D105"/>
    <mergeCell ref="E105:F105"/>
    <mergeCell ref="G105:H105"/>
    <mergeCell ref="G101:H101"/>
    <mergeCell ref="C102:D102"/>
    <mergeCell ref="E102:F102"/>
    <mergeCell ref="G102:H102"/>
    <mergeCell ref="C103:D103"/>
    <mergeCell ref="E103:F103"/>
    <mergeCell ref="G103:H103"/>
    <mergeCell ref="C99:D99"/>
    <mergeCell ref="E99:F99"/>
    <mergeCell ref="G99:H99"/>
    <mergeCell ref="A100:A105"/>
    <mergeCell ref="B100:B105"/>
    <mergeCell ref="C100:D100"/>
    <mergeCell ref="E100:F100"/>
    <mergeCell ref="G100:H100"/>
    <mergeCell ref="C101:D101"/>
    <mergeCell ref="E101:F101"/>
    <mergeCell ref="A94:A99"/>
    <mergeCell ref="B94:B99"/>
    <mergeCell ref="C94:D94"/>
    <mergeCell ref="E94:F94"/>
    <mergeCell ref="G94:H94"/>
    <mergeCell ref="C95:D95"/>
    <mergeCell ref="C97:D97"/>
    <mergeCell ref="E97:F97"/>
    <mergeCell ref="G97:H97"/>
    <mergeCell ref="C98:D98"/>
    <mergeCell ref="E98:F98"/>
    <mergeCell ref="G98:H98"/>
    <mergeCell ref="E95:F95"/>
    <mergeCell ref="G95:H95"/>
    <mergeCell ref="C96:D96"/>
    <mergeCell ref="E96:F96"/>
    <mergeCell ref="A92:A93"/>
    <mergeCell ref="B92:B93"/>
    <mergeCell ref="C92:D93"/>
    <mergeCell ref="E92:F92"/>
    <mergeCell ref="G92:H92"/>
    <mergeCell ref="E93:F93"/>
    <mergeCell ref="G93:H93"/>
    <mergeCell ref="G96:H96"/>
    <mergeCell ref="A90:H90"/>
    <mergeCell ref="J2:R2"/>
    <mergeCell ref="B17:C17"/>
    <mergeCell ref="E17:F17"/>
    <mergeCell ref="A63:H63"/>
    <mergeCell ref="A86:A88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58" sqref="B58"/>
    </sheetView>
  </sheetViews>
  <sheetFormatPr defaultRowHeight="12.75"/>
  <cols>
    <col min="1" max="1" width="10.28515625" style="577" customWidth="1"/>
    <col min="2" max="5" width="9.140625" style="577"/>
    <col min="6" max="6" width="9.42578125" style="577" customWidth="1"/>
    <col min="7" max="256" width="9.140625" style="577"/>
    <col min="257" max="257" width="10.28515625" style="577" customWidth="1"/>
    <col min="258" max="261" width="9.140625" style="577"/>
    <col min="262" max="262" width="9.42578125" style="577" customWidth="1"/>
    <col min="263" max="512" width="9.140625" style="577"/>
    <col min="513" max="513" width="10.28515625" style="577" customWidth="1"/>
    <col min="514" max="517" width="9.140625" style="577"/>
    <col min="518" max="518" width="9.42578125" style="577" customWidth="1"/>
    <col min="519" max="768" width="9.140625" style="577"/>
    <col min="769" max="769" width="10.28515625" style="577" customWidth="1"/>
    <col min="770" max="773" width="9.140625" style="577"/>
    <col min="774" max="774" width="9.42578125" style="577" customWidth="1"/>
    <col min="775" max="1024" width="9.140625" style="577"/>
    <col min="1025" max="1025" width="10.28515625" style="577" customWidth="1"/>
    <col min="1026" max="1029" width="9.140625" style="577"/>
    <col min="1030" max="1030" width="9.42578125" style="577" customWidth="1"/>
    <col min="1031" max="1280" width="9.140625" style="577"/>
    <col min="1281" max="1281" width="10.28515625" style="577" customWidth="1"/>
    <col min="1282" max="1285" width="9.140625" style="577"/>
    <col min="1286" max="1286" width="9.42578125" style="577" customWidth="1"/>
    <col min="1287" max="1536" width="9.140625" style="577"/>
    <col min="1537" max="1537" width="10.28515625" style="577" customWidth="1"/>
    <col min="1538" max="1541" width="9.140625" style="577"/>
    <col min="1542" max="1542" width="9.42578125" style="577" customWidth="1"/>
    <col min="1543" max="1792" width="9.140625" style="577"/>
    <col min="1793" max="1793" width="10.28515625" style="577" customWidth="1"/>
    <col min="1794" max="1797" width="9.140625" style="577"/>
    <col min="1798" max="1798" width="9.42578125" style="577" customWidth="1"/>
    <col min="1799" max="2048" width="9.140625" style="577"/>
    <col min="2049" max="2049" width="10.28515625" style="577" customWidth="1"/>
    <col min="2050" max="2053" width="9.140625" style="577"/>
    <col min="2054" max="2054" width="9.42578125" style="577" customWidth="1"/>
    <col min="2055" max="2304" width="9.140625" style="577"/>
    <col min="2305" max="2305" width="10.28515625" style="577" customWidth="1"/>
    <col min="2306" max="2309" width="9.140625" style="577"/>
    <col min="2310" max="2310" width="9.42578125" style="577" customWidth="1"/>
    <col min="2311" max="2560" width="9.140625" style="577"/>
    <col min="2561" max="2561" width="10.28515625" style="577" customWidth="1"/>
    <col min="2562" max="2565" width="9.140625" style="577"/>
    <col min="2566" max="2566" width="9.42578125" style="577" customWidth="1"/>
    <col min="2567" max="2816" width="9.140625" style="577"/>
    <col min="2817" max="2817" width="10.28515625" style="577" customWidth="1"/>
    <col min="2818" max="2821" width="9.140625" style="577"/>
    <col min="2822" max="2822" width="9.42578125" style="577" customWidth="1"/>
    <col min="2823" max="3072" width="9.140625" style="577"/>
    <col min="3073" max="3073" width="10.28515625" style="577" customWidth="1"/>
    <col min="3074" max="3077" width="9.140625" style="577"/>
    <col min="3078" max="3078" width="9.42578125" style="577" customWidth="1"/>
    <col min="3079" max="3328" width="9.140625" style="577"/>
    <col min="3329" max="3329" width="10.28515625" style="577" customWidth="1"/>
    <col min="3330" max="3333" width="9.140625" style="577"/>
    <col min="3334" max="3334" width="9.42578125" style="577" customWidth="1"/>
    <col min="3335" max="3584" width="9.140625" style="577"/>
    <col min="3585" max="3585" width="10.28515625" style="577" customWidth="1"/>
    <col min="3586" max="3589" width="9.140625" style="577"/>
    <col min="3590" max="3590" width="9.42578125" style="577" customWidth="1"/>
    <col min="3591" max="3840" width="9.140625" style="577"/>
    <col min="3841" max="3841" width="10.28515625" style="577" customWidth="1"/>
    <col min="3842" max="3845" width="9.140625" style="577"/>
    <col min="3846" max="3846" width="9.42578125" style="577" customWidth="1"/>
    <col min="3847" max="4096" width="9.140625" style="577"/>
    <col min="4097" max="4097" width="10.28515625" style="577" customWidth="1"/>
    <col min="4098" max="4101" width="9.140625" style="577"/>
    <col min="4102" max="4102" width="9.42578125" style="577" customWidth="1"/>
    <col min="4103" max="4352" width="9.140625" style="577"/>
    <col min="4353" max="4353" width="10.28515625" style="577" customWidth="1"/>
    <col min="4354" max="4357" width="9.140625" style="577"/>
    <col min="4358" max="4358" width="9.42578125" style="577" customWidth="1"/>
    <col min="4359" max="4608" width="9.140625" style="577"/>
    <col min="4609" max="4609" width="10.28515625" style="577" customWidth="1"/>
    <col min="4610" max="4613" width="9.140625" style="577"/>
    <col min="4614" max="4614" width="9.42578125" style="577" customWidth="1"/>
    <col min="4615" max="4864" width="9.140625" style="577"/>
    <col min="4865" max="4865" width="10.28515625" style="577" customWidth="1"/>
    <col min="4866" max="4869" width="9.140625" style="577"/>
    <col min="4870" max="4870" width="9.42578125" style="577" customWidth="1"/>
    <col min="4871" max="5120" width="9.140625" style="577"/>
    <col min="5121" max="5121" width="10.28515625" style="577" customWidth="1"/>
    <col min="5122" max="5125" width="9.140625" style="577"/>
    <col min="5126" max="5126" width="9.42578125" style="577" customWidth="1"/>
    <col min="5127" max="5376" width="9.140625" style="577"/>
    <col min="5377" max="5377" width="10.28515625" style="577" customWidth="1"/>
    <col min="5378" max="5381" width="9.140625" style="577"/>
    <col min="5382" max="5382" width="9.42578125" style="577" customWidth="1"/>
    <col min="5383" max="5632" width="9.140625" style="577"/>
    <col min="5633" max="5633" width="10.28515625" style="577" customWidth="1"/>
    <col min="5634" max="5637" width="9.140625" style="577"/>
    <col min="5638" max="5638" width="9.42578125" style="577" customWidth="1"/>
    <col min="5639" max="5888" width="9.140625" style="577"/>
    <col min="5889" max="5889" width="10.28515625" style="577" customWidth="1"/>
    <col min="5890" max="5893" width="9.140625" style="577"/>
    <col min="5894" max="5894" width="9.42578125" style="577" customWidth="1"/>
    <col min="5895" max="6144" width="9.140625" style="577"/>
    <col min="6145" max="6145" width="10.28515625" style="577" customWidth="1"/>
    <col min="6146" max="6149" width="9.140625" style="577"/>
    <col min="6150" max="6150" width="9.42578125" style="577" customWidth="1"/>
    <col min="6151" max="6400" width="9.140625" style="577"/>
    <col min="6401" max="6401" width="10.28515625" style="577" customWidth="1"/>
    <col min="6402" max="6405" width="9.140625" style="577"/>
    <col min="6406" max="6406" width="9.42578125" style="577" customWidth="1"/>
    <col min="6407" max="6656" width="9.140625" style="577"/>
    <col min="6657" max="6657" width="10.28515625" style="577" customWidth="1"/>
    <col min="6658" max="6661" width="9.140625" style="577"/>
    <col min="6662" max="6662" width="9.42578125" style="577" customWidth="1"/>
    <col min="6663" max="6912" width="9.140625" style="577"/>
    <col min="6913" max="6913" width="10.28515625" style="577" customWidth="1"/>
    <col min="6914" max="6917" width="9.140625" style="577"/>
    <col min="6918" max="6918" width="9.42578125" style="577" customWidth="1"/>
    <col min="6919" max="7168" width="9.140625" style="577"/>
    <col min="7169" max="7169" width="10.28515625" style="577" customWidth="1"/>
    <col min="7170" max="7173" width="9.140625" style="577"/>
    <col min="7174" max="7174" width="9.42578125" style="577" customWidth="1"/>
    <col min="7175" max="7424" width="9.140625" style="577"/>
    <col min="7425" max="7425" width="10.28515625" style="577" customWidth="1"/>
    <col min="7426" max="7429" width="9.140625" style="577"/>
    <col min="7430" max="7430" width="9.42578125" style="577" customWidth="1"/>
    <col min="7431" max="7680" width="9.140625" style="577"/>
    <col min="7681" max="7681" width="10.28515625" style="577" customWidth="1"/>
    <col min="7682" max="7685" width="9.140625" style="577"/>
    <col min="7686" max="7686" width="9.42578125" style="577" customWidth="1"/>
    <col min="7687" max="7936" width="9.140625" style="577"/>
    <col min="7937" max="7937" width="10.28515625" style="577" customWidth="1"/>
    <col min="7938" max="7941" width="9.140625" style="577"/>
    <col min="7942" max="7942" width="9.42578125" style="577" customWidth="1"/>
    <col min="7943" max="8192" width="9.140625" style="577"/>
    <col min="8193" max="8193" width="10.28515625" style="577" customWidth="1"/>
    <col min="8194" max="8197" width="9.140625" style="577"/>
    <col min="8198" max="8198" width="9.42578125" style="577" customWidth="1"/>
    <col min="8199" max="8448" width="9.140625" style="577"/>
    <col min="8449" max="8449" width="10.28515625" style="577" customWidth="1"/>
    <col min="8450" max="8453" width="9.140625" style="577"/>
    <col min="8454" max="8454" width="9.42578125" style="577" customWidth="1"/>
    <col min="8455" max="8704" width="9.140625" style="577"/>
    <col min="8705" max="8705" width="10.28515625" style="577" customWidth="1"/>
    <col min="8706" max="8709" width="9.140625" style="577"/>
    <col min="8710" max="8710" width="9.42578125" style="577" customWidth="1"/>
    <col min="8711" max="8960" width="9.140625" style="577"/>
    <col min="8961" max="8961" width="10.28515625" style="577" customWidth="1"/>
    <col min="8962" max="8965" width="9.140625" style="577"/>
    <col min="8966" max="8966" width="9.42578125" style="577" customWidth="1"/>
    <col min="8967" max="9216" width="9.140625" style="577"/>
    <col min="9217" max="9217" width="10.28515625" style="577" customWidth="1"/>
    <col min="9218" max="9221" width="9.140625" style="577"/>
    <col min="9222" max="9222" width="9.42578125" style="577" customWidth="1"/>
    <col min="9223" max="9472" width="9.140625" style="577"/>
    <col min="9473" max="9473" width="10.28515625" style="577" customWidth="1"/>
    <col min="9474" max="9477" width="9.140625" style="577"/>
    <col min="9478" max="9478" width="9.42578125" style="577" customWidth="1"/>
    <col min="9479" max="9728" width="9.140625" style="577"/>
    <col min="9729" max="9729" width="10.28515625" style="577" customWidth="1"/>
    <col min="9730" max="9733" width="9.140625" style="577"/>
    <col min="9734" max="9734" width="9.42578125" style="577" customWidth="1"/>
    <col min="9735" max="9984" width="9.140625" style="577"/>
    <col min="9985" max="9985" width="10.28515625" style="577" customWidth="1"/>
    <col min="9986" max="9989" width="9.140625" style="577"/>
    <col min="9990" max="9990" width="9.42578125" style="577" customWidth="1"/>
    <col min="9991" max="10240" width="9.140625" style="577"/>
    <col min="10241" max="10241" width="10.28515625" style="577" customWidth="1"/>
    <col min="10242" max="10245" width="9.140625" style="577"/>
    <col min="10246" max="10246" width="9.42578125" style="577" customWidth="1"/>
    <col min="10247" max="10496" width="9.140625" style="577"/>
    <col min="10497" max="10497" width="10.28515625" style="577" customWidth="1"/>
    <col min="10498" max="10501" width="9.140625" style="577"/>
    <col min="10502" max="10502" width="9.42578125" style="577" customWidth="1"/>
    <col min="10503" max="10752" width="9.140625" style="577"/>
    <col min="10753" max="10753" width="10.28515625" style="577" customWidth="1"/>
    <col min="10754" max="10757" width="9.140625" style="577"/>
    <col min="10758" max="10758" width="9.42578125" style="577" customWidth="1"/>
    <col min="10759" max="11008" width="9.140625" style="577"/>
    <col min="11009" max="11009" width="10.28515625" style="577" customWidth="1"/>
    <col min="11010" max="11013" width="9.140625" style="577"/>
    <col min="11014" max="11014" width="9.42578125" style="577" customWidth="1"/>
    <col min="11015" max="11264" width="9.140625" style="577"/>
    <col min="11265" max="11265" width="10.28515625" style="577" customWidth="1"/>
    <col min="11266" max="11269" width="9.140625" style="577"/>
    <col min="11270" max="11270" width="9.42578125" style="577" customWidth="1"/>
    <col min="11271" max="11520" width="9.140625" style="577"/>
    <col min="11521" max="11521" width="10.28515625" style="577" customWidth="1"/>
    <col min="11522" max="11525" width="9.140625" style="577"/>
    <col min="11526" max="11526" width="9.42578125" style="577" customWidth="1"/>
    <col min="11527" max="11776" width="9.140625" style="577"/>
    <col min="11777" max="11777" width="10.28515625" style="577" customWidth="1"/>
    <col min="11778" max="11781" width="9.140625" style="577"/>
    <col min="11782" max="11782" width="9.42578125" style="577" customWidth="1"/>
    <col min="11783" max="12032" width="9.140625" style="577"/>
    <col min="12033" max="12033" width="10.28515625" style="577" customWidth="1"/>
    <col min="12034" max="12037" width="9.140625" style="577"/>
    <col min="12038" max="12038" width="9.42578125" style="577" customWidth="1"/>
    <col min="12039" max="12288" width="9.140625" style="577"/>
    <col min="12289" max="12289" width="10.28515625" style="577" customWidth="1"/>
    <col min="12290" max="12293" width="9.140625" style="577"/>
    <col min="12294" max="12294" width="9.42578125" style="577" customWidth="1"/>
    <col min="12295" max="12544" width="9.140625" style="577"/>
    <col min="12545" max="12545" width="10.28515625" style="577" customWidth="1"/>
    <col min="12546" max="12549" width="9.140625" style="577"/>
    <col min="12550" max="12550" width="9.42578125" style="577" customWidth="1"/>
    <col min="12551" max="12800" width="9.140625" style="577"/>
    <col min="12801" max="12801" width="10.28515625" style="577" customWidth="1"/>
    <col min="12802" max="12805" width="9.140625" style="577"/>
    <col min="12806" max="12806" width="9.42578125" style="577" customWidth="1"/>
    <col min="12807" max="13056" width="9.140625" style="577"/>
    <col min="13057" max="13057" width="10.28515625" style="577" customWidth="1"/>
    <col min="13058" max="13061" width="9.140625" style="577"/>
    <col min="13062" max="13062" width="9.42578125" style="577" customWidth="1"/>
    <col min="13063" max="13312" width="9.140625" style="577"/>
    <col min="13313" max="13313" width="10.28515625" style="577" customWidth="1"/>
    <col min="13314" max="13317" width="9.140625" style="577"/>
    <col min="13318" max="13318" width="9.42578125" style="577" customWidth="1"/>
    <col min="13319" max="13568" width="9.140625" style="577"/>
    <col min="13569" max="13569" width="10.28515625" style="577" customWidth="1"/>
    <col min="13570" max="13573" width="9.140625" style="577"/>
    <col min="13574" max="13574" width="9.42578125" style="577" customWidth="1"/>
    <col min="13575" max="13824" width="9.140625" style="577"/>
    <col min="13825" max="13825" width="10.28515625" style="577" customWidth="1"/>
    <col min="13826" max="13829" width="9.140625" style="577"/>
    <col min="13830" max="13830" width="9.42578125" style="577" customWidth="1"/>
    <col min="13831" max="14080" width="9.140625" style="577"/>
    <col min="14081" max="14081" width="10.28515625" style="577" customWidth="1"/>
    <col min="14082" max="14085" width="9.140625" style="577"/>
    <col min="14086" max="14086" width="9.42578125" style="577" customWidth="1"/>
    <col min="14087" max="14336" width="9.140625" style="577"/>
    <col min="14337" max="14337" width="10.28515625" style="577" customWidth="1"/>
    <col min="14338" max="14341" width="9.140625" style="577"/>
    <col min="14342" max="14342" width="9.42578125" style="577" customWidth="1"/>
    <col min="14343" max="14592" width="9.140625" style="577"/>
    <col min="14593" max="14593" width="10.28515625" style="577" customWidth="1"/>
    <col min="14594" max="14597" width="9.140625" style="577"/>
    <col min="14598" max="14598" width="9.42578125" style="577" customWidth="1"/>
    <col min="14599" max="14848" width="9.140625" style="577"/>
    <col min="14849" max="14849" width="10.28515625" style="577" customWidth="1"/>
    <col min="14850" max="14853" width="9.140625" style="577"/>
    <col min="14854" max="14854" width="9.42578125" style="577" customWidth="1"/>
    <col min="14855" max="15104" width="9.140625" style="577"/>
    <col min="15105" max="15105" width="10.28515625" style="577" customWidth="1"/>
    <col min="15106" max="15109" width="9.140625" style="577"/>
    <col min="15110" max="15110" width="9.42578125" style="577" customWidth="1"/>
    <col min="15111" max="15360" width="9.140625" style="577"/>
    <col min="15361" max="15361" width="10.28515625" style="577" customWidth="1"/>
    <col min="15362" max="15365" width="9.140625" style="577"/>
    <col min="15366" max="15366" width="9.42578125" style="577" customWidth="1"/>
    <col min="15367" max="15616" width="9.140625" style="577"/>
    <col min="15617" max="15617" width="10.28515625" style="577" customWidth="1"/>
    <col min="15618" max="15621" width="9.140625" style="577"/>
    <col min="15622" max="15622" width="9.42578125" style="577" customWidth="1"/>
    <col min="15623" max="15872" width="9.140625" style="577"/>
    <col min="15873" max="15873" width="10.28515625" style="577" customWidth="1"/>
    <col min="15874" max="15877" width="9.140625" style="577"/>
    <col min="15878" max="15878" width="9.42578125" style="577" customWidth="1"/>
    <col min="15879" max="16128" width="9.140625" style="577"/>
    <col min="16129" max="16129" width="10.28515625" style="577" customWidth="1"/>
    <col min="16130" max="16133" width="9.140625" style="577"/>
    <col min="16134" max="16134" width="9.42578125" style="577" customWidth="1"/>
    <col min="16135" max="16384" width="9.140625" style="577"/>
  </cols>
  <sheetData>
    <row r="1" spans="1:8" ht="18">
      <c r="A1" s="588" t="s">
        <v>934</v>
      </c>
      <c r="B1" s="1251" t="s">
        <v>935</v>
      </c>
      <c r="D1" s="1253" t="s">
        <v>936</v>
      </c>
      <c r="E1" s="1253"/>
      <c r="F1" s="1253"/>
      <c r="G1" s="1253"/>
      <c r="H1" s="1253"/>
    </row>
    <row r="2" spans="1:8" ht="18">
      <c r="A2" s="589" t="s">
        <v>937</v>
      </c>
      <c r="B2" s="1252"/>
      <c r="D2" s="1253" t="s">
        <v>938</v>
      </c>
      <c r="E2" s="1253"/>
      <c r="F2" s="1253"/>
      <c r="G2" s="1253"/>
      <c r="H2" s="1253"/>
    </row>
    <row r="3" spans="1:8">
      <c r="A3" s="590">
        <v>1</v>
      </c>
      <c r="B3" s="590">
        <v>3.0779999999999998</v>
      </c>
    </row>
    <row r="4" spans="1:8">
      <c r="A4" s="590">
        <v>2</v>
      </c>
      <c r="B4" s="590">
        <v>1.8859999999999999</v>
      </c>
    </row>
    <row r="5" spans="1:8">
      <c r="A5" s="590">
        <v>3</v>
      </c>
      <c r="B5" s="590">
        <v>1.6379999999999999</v>
      </c>
    </row>
    <row r="6" spans="1:8">
      <c r="A6" s="590">
        <v>4</v>
      </c>
      <c r="B6" s="590">
        <v>1.5329999999999999</v>
      </c>
    </row>
    <row r="7" spans="1:8">
      <c r="A7" s="591">
        <v>5</v>
      </c>
      <c r="B7" s="591">
        <v>1.476</v>
      </c>
    </row>
    <row r="8" spans="1:8">
      <c r="A8" s="591">
        <v>6</v>
      </c>
      <c r="B8" s="591">
        <v>1.44</v>
      </c>
    </row>
    <row r="9" spans="1:8">
      <c r="A9" s="591">
        <v>7</v>
      </c>
      <c r="B9" s="591">
        <v>1.415</v>
      </c>
    </row>
    <row r="10" spans="1:8">
      <c r="A10" s="591">
        <v>8</v>
      </c>
      <c r="B10" s="591">
        <v>1.397</v>
      </c>
    </row>
    <row r="11" spans="1:8">
      <c r="A11" s="591">
        <v>9</v>
      </c>
      <c r="B11" s="591">
        <v>1.383</v>
      </c>
    </row>
    <row r="12" spans="1:8">
      <c r="A12" s="591">
        <v>10</v>
      </c>
      <c r="B12" s="591">
        <v>1.3720000000000001</v>
      </c>
    </row>
    <row r="13" spans="1:8">
      <c r="A13" s="591">
        <v>11</v>
      </c>
      <c r="B13" s="591">
        <v>1.363</v>
      </c>
    </row>
    <row r="14" spans="1:8">
      <c r="A14" s="591">
        <v>12</v>
      </c>
      <c r="B14" s="591">
        <v>1.3560000000000001</v>
      </c>
    </row>
    <row r="15" spans="1:8">
      <c r="A15" s="591">
        <v>13</v>
      </c>
      <c r="B15" s="591">
        <v>1.35</v>
      </c>
    </row>
    <row r="16" spans="1:8">
      <c r="A16" s="591">
        <v>14</v>
      </c>
      <c r="B16" s="591">
        <v>1.345</v>
      </c>
    </row>
    <row r="17" spans="1:2">
      <c r="A17" s="591">
        <v>15</v>
      </c>
      <c r="B17" s="591">
        <v>1.341</v>
      </c>
    </row>
    <row r="18" spans="1:2">
      <c r="A18" s="590">
        <v>16</v>
      </c>
      <c r="B18" s="590">
        <v>1.337</v>
      </c>
    </row>
    <row r="19" spans="1:2">
      <c r="A19" s="591">
        <v>17</v>
      </c>
      <c r="B19" s="591">
        <v>1.33</v>
      </c>
    </row>
    <row r="20" spans="1:2">
      <c r="A20" s="590">
        <v>18</v>
      </c>
      <c r="B20" s="590">
        <v>1.33</v>
      </c>
    </row>
    <row r="21" spans="1:2">
      <c r="A21" s="590">
        <v>19</v>
      </c>
      <c r="B21" s="590">
        <v>1.3280000000000001</v>
      </c>
    </row>
    <row r="22" spans="1:2">
      <c r="A22" s="591">
        <v>20</v>
      </c>
      <c r="B22" s="591">
        <v>1.325</v>
      </c>
    </row>
    <row r="23" spans="1:2">
      <c r="A23" s="591">
        <v>21</v>
      </c>
      <c r="B23" s="591">
        <v>1.323</v>
      </c>
    </row>
    <row r="24" spans="1:2">
      <c r="A24" s="591">
        <v>22</v>
      </c>
      <c r="B24" s="591">
        <v>1.321</v>
      </c>
    </row>
    <row r="25" spans="1:2">
      <c r="A25" s="591">
        <v>23</v>
      </c>
      <c r="B25" s="591">
        <v>1.319</v>
      </c>
    </row>
    <row r="26" spans="1:2">
      <c r="A26" s="591">
        <v>24</v>
      </c>
      <c r="B26" s="591">
        <v>1.3180000000000001</v>
      </c>
    </row>
    <row r="27" spans="1:2">
      <c r="A27" s="591">
        <v>25</v>
      </c>
      <c r="B27" s="591">
        <v>1.3160000000000001</v>
      </c>
    </row>
    <row r="28" spans="1:2">
      <c r="A28" s="591">
        <v>26</v>
      </c>
      <c r="B28" s="591">
        <v>1.3149999999999999</v>
      </c>
    </row>
    <row r="29" spans="1:2">
      <c r="A29" s="591">
        <v>27</v>
      </c>
      <c r="B29" s="591">
        <v>1.3140000000000001</v>
      </c>
    </row>
    <row r="30" spans="1:2">
      <c r="A30" s="591">
        <v>28</v>
      </c>
      <c r="B30" s="591">
        <v>1.3129999999999999</v>
      </c>
    </row>
    <row r="31" spans="1:2">
      <c r="A31" s="591">
        <v>29</v>
      </c>
      <c r="B31" s="591">
        <v>1.3109999999999999</v>
      </c>
    </row>
    <row r="32" spans="1:2">
      <c r="A32" s="591">
        <v>30</v>
      </c>
      <c r="B32" s="591">
        <v>1.31</v>
      </c>
    </row>
    <row r="34" spans="1:2">
      <c r="A34" s="590" t="s">
        <v>939</v>
      </c>
      <c r="B34" s="590">
        <f>(CÁLCULO!D24)-1</f>
        <v>4</v>
      </c>
    </row>
    <row r="35" spans="1:2">
      <c r="A35" s="590" t="s">
        <v>935</v>
      </c>
      <c r="B35" s="590">
        <f>VLOOKUP(B34,A3:B32,2)</f>
        <v>1.5329999999999999</v>
      </c>
    </row>
  </sheetData>
  <sheetProtection password="CC7E" sheet="1" objects="1" scenarios="1"/>
  <mergeCells count="3">
    <mergeCell ref="B1:B2"/>
    <mergeCell ref="D1:H1"/>
    <mergeCell ref="D2:H2"/>
  </mergeCells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"/>
  <sheetViews>
    <sheetView workbookViewId="0">
      <selection activeCell="G18" sqref="G18"/>
    </sheetView>
  </sheetViews>
  <sheetFormatPr defaultColWidth="5.85546875" defaultRowHeight="15"/>
  <cols>
    <col min="1" max="1" width="10.42578125" style="352" bestFit="1" customWidth="1"/>
    <col min="2" max="2" width="11" style="352" bestFit="1" customWidth="1"/>
    <col min="3" max="3" width="11.28515625" style="352" bestFit="1" customWidth="1"/>
    <col min="4" max="4" width="38.28515625" style="352" customWidth="1"/>
    <col min="5" max="5" width="15" style="352" bestFit="1" customWidth="1"/>
    <col min="6" max="6" width="10.42578125" style="352" bestFit="1" customWidth="1"/>
    <col min="7" max="7" width="8.7109375" style="352" bestFit="1" customWidth="1"/>
    <col min="8" max="8" width="3.28515625" style="352" bestFit="1" customWidth="1"/>
    <col min="9" max="9" width="9.7109375" style="352" bestFit="1" customWidth="1"/>
    <col min="10" max="10" width="18.28515625" style="352" bestFit="1" customWidth="1"/>
    <col min="11" max="11" width="17.42578125" style="352" bestFit="1" customWidth="1"/>
    <col min="12" max="12" width="26" style="352" bestFit="1" customWidth="1"/>
    <col min="13" max="13" width="20" style="352" bestFit="1" customWidth="1"/>
    <col min="14" max="14" width="21" style="352" bestFit="1" customWidth="1"/>
    <col min="15" max="15" width="27.140625" style="352" bestFit="1" customWidth="1"/>
    <col min="16" max="16" width="25.140625" style="352" bestFit="1" customWidth="1"/>
    <col min="17" max="17" width="15.7109375" style="352" bestFit="1" customWidth="1"/>
    <col min="18" max="18" width="24" style="352" bestFit="1" customWidth="1"/>
    <col min="19" max="19" width="21.7109375" style="352" bestFit="1" customWidth="1"/>
    <col min="20" max="20" width="21.42578125" style="352" bestFit="1" customWidth="1"/>
    <col min="21" max="21" width="19.42578125" style="352" bestFit="1" customWidth="1"/>
    <col min="22" max="22" width="20.28515625" style="352" bestFit="1" customWidth="1"/>
    <col min="23" max="23" width="16.42578125" style="352" bestFit="1" customWidth="1"/>
    <col min="24" max="24" width="15.5703125" style="352" bestFit="1" customWidth="1"/>
    <col min="25" max="25" width="20.7109375" style="352" bestFit="1" customWidth="1"/>
    <col min="26" max="26" width="15" style="352" bestFit="1" customWidth="1"/>
    <col min="27" max="27" width="15" style="352" customWidth="1"/>
    <col min="28" max="28" width="20.42578125" style="352" customWidth="1"/>
    <col min="29" max="29" width="7.5703125" style="352" bestFit="1" customWidth="1"/>
    <col min="30" max="30" width="12.5703125" style="352" bestFit="1" customWidth="1"/>
    <col min="31" max="32" width="8.7109375" style="352" bestFit="1" customWidth="1"/>
    <col min="33" max="33" width="13.140625" style="352" bestFit="1" customWidth="1"/>
    <col min="34" max="34" width="12.5703125" style="352" bestFit="1" customWidth="1"/>
    <col min="35" max="35" width="18.5703125" style="352" bestFit="1" customWidth="1"/>
    <col min="36" max="36" width="15.140625" style="352" bestFit="1" customWidth="1"/>
    <col min="37" max="37" width="12.28515625" style="352" bestFit="1" customWidth="1"/>
    <col min="38" max="38" width="16.85546875" style="352" bestFit="1" customWidth="1"/>
    <col min="39" max="39" width="14.42578125" style="352" bestFit="1" customWidth="1"/>
    <col min="40" max="40" width="9" style="352" bestFit="1" customWidth="1"/>
    <col min="41" max="41" width="22.7109375" style="352" bestFit="1" customWidth="1"/>
    <col min="42" max="42" width="23" style="352" bestFit="1" customWidth="1"/>
    <col min="43" max="43" width="22.5703125" style="352" bestFit="1" customWidth="1"/>
    <col min="44" max="44" width="21" style="352" bestFit="1" customWidth="1"/>
    <col min="45" max="45" width="24.42578125" style="352" bestFit="1" customWidth="1"/>
    <col min="46" max="46" width="16.5703125" style="352" bestFit="1" customWidth="1"/>
    <col min="47" max="47" width="16.42578125" style="352" bestFit="1" customWidth="1"/>
    <col min="48" max="48" width="14.140625" style="352" bestFit="1" customWidth="1"/>
    <col min="49" max="49" width="12.28515625" style="352" bestFit="1" customWidth="1"/>
    <col min="50" max="50" width="22" style="352" bestFit="1" customWidth="1"/>
    <col min="51" max="51" width="12.28515625" style="352" bestFit="1" customWidth="1"/>
    <col min="52" max="52" width="20.28515625" style="352" bestFit="1" customWidth="1"/>
    <col min="53" max="53" width="23.42578125" style="352" bestFit="1" customWidth="1"/>
    <col min="54" max="54" width="18" style="352" bestFit="1" customWidth="1"/>
    <col min="55" max="55" width="22" style="352" bestFit="1" customWidth="1"/>
    <col min="56" max="56" width="20.42578125" style="352" bestFit="1" customWidth="1"/>
    <col min="57" max="58" width="25.7109375" style="352" bestFit="1" customWidth="1"/>
    <col min="59" max="59" width="21" style="352" bestFit="1" customWidth="1"/>
    <col min="60" max="60" width="28.5703125" style="352" bestFit="1" customWidth="1"/>
    <col min="61" max="61" width="22" style="352" bestFit="1" customWidth="1"/>
    <col min="62" max="62" width="18.7109375" style="352" bestFit="1" customWidth="1"/>
    <col min="63" max="16384" width="5.85546875" style="352"/>
  </cols>
  <sheetData>
    <row r="1" spans="1:62" customFormat="1">
      <c r="A1" s="391" t="s">
        <v>483</v>
      </c>
      <c r="B1" s="392" t="s">
        <v>479</v>
      </c>
      <c r="C1" s="393" t="s">
        <v>475</v>
      </c>
      <c r="D1" s="392" t="s">
        <v>486</v>
      </c>
      <c r="E1" s="392" t="s">
        <v>488</v>
      </c>
      <c r="F1" s="392" t="s">
        <v>490</v>
      </c>
      <c r="G1" s="392" t="s">
        <v>491</v>
      </c>
      <c r="H1" s="392" t="s">
        <v>33</v>
      </c>
      <c r="I1" s="392" t="s">
        <v>16</v>
      </c>
      <c r="J1" s="392" t="s">
        <v>496</v>
      </c>
      <c r="K1" s="392" t="s">
        <v>501</v>
      </c>
      <c r="L1" s="392" t="s">
        <v>505</v>
      </c>
      <c r="M1" s="392" t="s">
        <v>507</v>
      </c>
      <c r="N1" s="392" t="s">
        <v>509</v>
      </c>
      <c r="O1" s="392" t="s">
        <v>511</v>
      </c>
      <c r="P1" s="392" t="s">
        <v>513</v>
      </c>
      <c r="Q1" s="392" t="s">
        <v>515</v>
      </c>
      <c r="R1" s="392" t="s">
        <v>517</v>
      </c>
      <c r="S1" s="392" t="s">
        <v>521</v>
      </c>
      <c r="T1" s="392" t="s">
        <v>523</v>
      </c>
      <c r="U1" s="392" t="s">
        <v>525</v>
      </c>
      <c r="V1" s="392" t="s">
        <v>527</v>
      </c>
      <c r="W1" s="392" t="s">
        <v>529</v>
      </c>
      <c r="X1" s="392" t="s">
        <v>531</v>
      </c>
      <c r="Y1" s="392" t="s">
        <v>533</v>
      </c>
      <c r="Z1" s="392" t="s">
        <v>535</v>
      </c>
      <c r="AA1" s="392" t="s">
        <v>674</v>
      </c>
      <c r="AB1" s="392" t="s">
        <v>675</v>
      </c>
      <c r="AC1" s="392" t="s">
        <v>544</v>
      </c>
      <c r="AD1" s="392" t="s">
        <v>546</v>
      </c>
      <c r="AE1" s="394" t="s">
        <v>548</v>
      </c>
      <c r="AF1" s="394" t="s">
        <v>552</v>
      </c>
      <c r="AG1" s="392" t="s">
        <v>555</v>
      </c>
      <c r="AH1" s="392" t="s">
        <v>561</v>
      </c>
      <c r="AI1" s="391" t="s">
        <v>566</v>
      </c>
      <c r="AJ1" s="391" t="s">
        <v>569</v>
      </c>
      <c r="AK1" s="391" t="s">
        <v>571</v>
      </c>
      <c r="AL1" s="391" t="s">
        <v>573</v>
      </c>
      <c r="AM1" s="394" t="s">
        <v>577</v>
      </c>
      <c r="AN1" s="391" t="s">
        <v>580</v>
      </c>
      <c r="AO1" s="392" t="s">
        <v>582</v>
      </c>
      <c r="AP1" s="392" t="s">
        <v>585</v>
      </c>
      <c r="AQ1" s="392" t="s">
        <v>587</v>
      </c>
      <c r="AR1" s="391" t="s">
        <v>589</v>
      </c>
      <c r="AS1" s="391" t="s">
        <v>590</v>
      </c>
      <c r="AT1" s="394" t="s">
        <v>591</v>
      </c>
      <c r="AU1" s="394" t="s">
        <v>595</v>
      </c>
      <c r="AV1" s="394" t="s">
        <v>598</v>
      </c>
      <c r="AW1" s="394" t="s">
        <v>601</v>
      </c>
      <c r="AX1" s="394" t="s">
        <v>603</v>
      </c>
      <c r="AY1" s="392" t="s">
        <v>608</v>
      </c>
      <c r="AZ1" s="391" t="s">
        <v>611</v>
      </c>
      <c r="BA1" s="391" t="s">
        <v>614</v>
      </c>
      <c r="BB1" s="391" t="s">
        <v>616</v>
      </c>
      <c r="BC1" s="392" t="s">
        <v>617</v>
      </c>
      <c r="BD1" s="392" t="s">
        <v>622</v>
      </c>
      <c r="BE1" s="392" t="s">
        <v>624</v>
      </c>
      <c r="BF1" s="392" t="s">
        <v>626</v>
      </c>
      <c r="BG1" s="392" t="s">
        <v>628</v>
      </c>
      <c r="BH1" s="392" t="s">
        <v>630</v>
      </c>
      <c r="BI1" s="392" t="s">
        <v>632</v>
      </c>
      <c r="BJ1" s="394" t="s">
        <v>636</v>
      </c>
    </row>
    <row r="2" spans="1:62">
      <c r="A2" s="395">
        <v>33</v>
      </c>
      <c r="B2" s="367">
        <f>'Página 1'!H4</f>
        <v>0</v>
      </c>
      <c r="C2" s="366">
        <f>'Página 1'!B57</f>
        <v>41473</v>
      </c>
      <c r="D2" s="368" t="str">
        <f>TRIM(CONCATENATE('Página 1'!B11,"    nº ",'Página 1'!G11))</f>
        <v>Rua Cardeal Montini nº 812</v>
      </c>
      <c r="E2" s="368">
        <f>'Página 1'!H11</f>
        <v>0</v>
      </c>
      <c r="F2" s="352" t="str">
        <f>'Página 1'!B13</f>
        <v>Jardim Santa Catarina</v>
      </c>
      <c r="G2" s="352" t="str">
        <f>'Página 1'!D13</f>
        <v>São Gonçalo</v>
      </c>
      <c r="H2" s="352" t="str">
        <f>'Página 1'!G13</f>
        <v>RJ</v>
      </c>
      <c r="I2" s="352" t="str">
        <f>'Página 1'!H13</f>
        <v>24715-406</v>
      </c>
      <c r="J2" s="352" t="str">
        <f>'Página 2'!B66</f>
        <v>Residêncial</v>
      </c>
      <c r="K2" s="352" t="str">
        <f>IF('Página 2'!G61="x","true","false")</f>
        <v>true</v>
      </c>
      <c r="L2" s="352" t="str">
        <f>IF('Página 2'!G62="x","true","false")</f>
        <v>true</v>
      </c>
      <c r="M2" s="352" t="str">
        <f>IF('Página 2'!G63="x","true","false")</f>
        <v>true</v>
      </c>
      <c r="N2" s="352" t="str">
        <f>IF('Página 2'!N62="x","true","false")</f>
        <v>true</v>
      </c>
      <c r="O2" s="352" t="str">
        <f>IF(OR('Página 2'!U62="x",'Página 2'!U63="x"),"true","false")</f>
        <v>true</v>
      </c>
      <c r="P2" s="352" t="str">
        <f>IF('Página 2'!N61="x","true","false")</f>
        <v>true</v>
      </c>
      <c r="Q2" s="352" t="str">
        <f>IF('Página 2'!U61="x","true","false")</f>
        <v>false</v>
      </c>
      <c r="R2" s="352" t="str">
        <f>IF('Página 2'!N63="x","true","false")</f>
        <v>true</v>
      </c>
      <c r="S2" s="352" t="str">
        <f>IF('Página 2'!I70="x","true","false")</f>
        <v>true</v>
      </c>
      <c r="T2" s="352" t="str">
        <f>IF('Página 2'!I71="x","true","false")</f>
        <v>true</v>
      </c>
      <c r="U2" s="352" t="str">
        <f>IF('Página 2'!I72="x","true","false")</f>
        <v>true</v>
      </c>
      <c r="V2" s="352" t="str">
        <f>IF('Página 2'!I73="x","true","false")</f>
        <v>true</v>
      </c>
      <c r="W2" s="352" t="str">
        <f>IF('Página 2'!S70="x","true","false")</f>
        <v>false</v>
      </c>
      <c r="X2" s="352" t="str">
        <f>IF('Página 2'!S73="x","true","false")</f>
        <v>false</v>
      </c>
      <c r="Y2" s="352" t="str">
        <f>IF('Página 2'!AC71="x","true","false")</f>
        <v>false</v>
      </c>
      <c r="Z2" s="352" t="str">
        <f>IF('Página 2'!AC72="x","true","false")</f>
        <v>false</v>
      </c>
      <c r="AA2" s="352" t="str">
        <f>TRIM(CONCATENATE(lista!B51,"/",lista!B56,"/",lista!B58))</f>
        <v>//</v>
      </c>
      <c r="AB2" s="352" t="str">
        <f>TRIM(CONCATENATE(lista!B50,"/",lista!B52,"/",lista!B53,"/",lista!B54,"/",lista!B55,"/",lista!B57))</f>
        <v>//favela///</v>
      </c>
      <c r="AC2" s="352" t="str">
        <f>'Página 1'!G37</f>
        <v>regular</v>
      </c>
      <c r="AD2" s="352" t="str">
        <f>'Página 1'!H37</f>
        <v>plano</v>
      </c>
      <c r="AE2" s="369">
        <f>'Página 1'!B37</f>
        <v>360</v>
      </c>
      <c r="AF2" s="369">
        <f>'Página 1'!E37</f>
        <v>12</v>
      </c>
      <c r="AG2" s="352" t="str">
        <f>'Página 1'!B33</f>
        <v>Casa térrea</v>
      </c>
      <c r="AH2" s="352" t="str">
        <f>'Página 2'!J31</f>
        <v>residencial</v>
      </c>
      <c r="AI2" s="368">
        <f>'Página 2'!Y32</f>
        <v>0</v>
      </c>
      <c r="AJ2" s="368">
        <f>'Página 2'!H12</f>
        <v>1</v>
      </c>
      <c r="AK2" s="368">
        <f>'Página 2'!H10</f>
        <v>1</v>
      </c>
      <c r="AL2" s="368">
        <f>'Página 2'!H13</f>
        <v>1</v>
      </c>
      <c r="AM2" s="368">
        <f>'Página 1'!H33</f>
        <v>10</v>
      </c>
      <c r="AN2" s="368">
        <f>'Página 2'!Y31</f>
        <v>0</v>
      </c>
      <c r="AO2" s="352" t="str">
        <f>'Página 1'!D33</f>
        <v>Médio</v>
      </c>
      <c r="AP2" s="352" t="str">
        <f>'Página 1'!F33</f>
        <v>bom</v>
      </c>
      <c r="AQ2" s="352" t="str">
        <f>'Página 2'!J32</f>
        <v>alvenaria</v>
      </c>
      <c r="AR2" s="368">
        <f>'Página 2'!H29</f>
        <v>1</v>
      </c>
      <c r="AS2" s="368">
        <f>'Página 2'!H30</f>
        <v>0</v>
      </c>
      <c r="AT2" s="370">
        <f>'Página 1'!C46</f>
        <v>139.30000000000001</v>
      </c>
      <c r="AU2" s="370"/>
      <c r="AV2" s="370"/>
      <c r="AW2" s="370">
        <f>'Página 1'!H46</f>
        <v>139.30000000000001</v>
      </c>
      <c r="AX2" s="370">
        <f>'Página 1'!E46</f>
        <v>0</v>
      </c>
      <c r="AY2" s="370" t="str">
        <f>'Página 2'!F40</f>
        <v>comercial</v>
      </c>
      <c r="AZ2" s="368">
        <f>'Página 2'!F36+'Página 2'!F37+'Página 2'!F38+'Página 2'!F39</f>
        <v>0</v>
      </c>
      <c r="BA2" s="368">
        <f>'Página 2'!P38</f>
        <v>4</v>
      </c>
      <c r="BB2" s="368">
        <f>'Página 2'!Y39</f>
        <v>0</v>
      </c>
      <c r="BC2" s="352">
        <f>'Página 2'!S40</f>
        <v>0</v>
      </c>
      <c r="BD2" s="352" t="str">
        <f>IF('Página 2'!G44="x","true","false")</f>
        <v>true</v>
      </c>
      <c r="BE2" s="352" t="str">
        <f>IF('Página 2'!G45="x","true","false")</f>
        <v>false</v>
      </c>
      <c r="BF2" s="352" t="str">
        <f>IF('Página 2'!N44="x","true","false")</f>
        <v>false</v>
      </c>
      <c r="BG2" s="352" t="str">
        <f>IF('Página 2'!N46="x","true","false")</f>
        <v>false</v>
      </c>
      <c r="BH2" s="352" t="str">
        <f>IF('Página 2'!G46="x","true","false")</f>
        <v>true</v>
      </c>
      <c r="BI2" s="352" t="str">
        <f>IF('Página 2'!N45="x","true","false")</f>
        <v>false</v>
      </c>
      <c r="BJ2" s="369">
        <f>'Página 1'!B50</f>
        <v>293000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Página 1</vt:lpstr>
      <vt:lpstr>Página 2</vt:lpstr>
      <vt:lpstr>Página 3</vt:lpstr>
      <vt:lpstr>Fotos</vt:lpstr>
      <vt:lpstr>+Fotos</vt:lpstr>
      <vt:lpstr>Pesquisa</vt:lpstr>
      <vt:lpstr>casa</vt:lpstr>
      <vt:lpstr>Documentos</vt:lpstr>
      <vt:lpstr>Ross Reidecke</vt:lpstr>
      <vt:lpstr>USO INTERNO BANCO</vt:lpstr>
      <vt:lpstr>lista</vt:lpstr>
      <vt:lpstr>Campos_Laudo</vt:lpstr>
      <vt:lpstr>Documentos (2)</vt:lpstr>
      <vt:lpstr>CROQUI</vt:lpstr>
      <vt:lpstr>PESQUISAS</vt:lpstr>
      <vt:lpstr>CÁLCULO</vt:lpstr>
      <vt:lpstr>Tabelas Auxiliares 1</vt:lpstr>
      <vt:lpstr>Tabelas Auxiliares 2</vt:lpstr>
      <vt:lpstr>GL</vt:lpstr>
      <vt:lpstr>LAYOUT-USO BANCO NÃO ALTERE</vt:lpstr>
      <vt:lpstr>'+Fotos'!Area_de_impressao</vt:lpstr>
      <vt:lpstr>CÁLCULO!Area_de_impressao</vt:lpstr>
      <vt:lpstr>Campos_Laudo!Area_de_impressao</vt:lpstr>
      <vt:lpstr>casa!Area_de_impressao</vt:lpstr>
      <vt:lpstr>CROQUI!Area_de_impressao</vt:lpstr>
      <vt:lpstr>Documentos!Area_de_impressao</vt:lpstr>
      <vt:lpstr>'Documentos (2)'!Area_de_impressao</vt:lpstr>
      <vt:lpstr>Fotos!Area_de_impressao</vt:lpstr>
      <vt:lpstr>'Página 1'!Area_de_impressao</vt:lpstr>
      <vt:lpstr>'Página 2'!Area_de_impressao</vt:lpstr>
      <vt:lpstr>'Página 3'!Area_de_impressao</vt:lpstr>
      <vt:lpstr>Pesquisa!Area_de_impressao</vt:lpstr>
      <vt:lpstr>PESQUISAS!Area_de_impressao</vt:lpstr>
      <vt:lpstr>PADRÃO</vt:lpstr>
      <vt:lpstr>Padrão_Ec.</vt:lpstr>
      <vt:lpstr>POS.VERT.</vt:lpstr>
      <vt:lpstr>POSICIONAMENTO_VERT.</vt:lpstr>
      <vt:lpstr>POSICIONAMENTO_VERTICAL</vt:lpstr>
    </vt:vector>
  </TitlesOfParts>
  <Company>Engevali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Midori Namiki Onuki</dc:creator>
  <cp:lastModifiedBy>Cristiane Justo Sillis</cp:lastModifiedBy>
  <cp:lastPrinted>2009-02-06T17:55:11Z</cp:lastPrinted>
  <dcterms:created xsi:type="dcterms:W3CDTF">1999-07-27T17:56:48Z</dcterms:created>
  <dcterms:modified xsi:type="dcterms:W3CDTF">2021-05-20T17:46:59Z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